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4 2024\на купівлю\"/>
    </mc:Choice>
  </mc:AlternateContent>
  <xr:revisionPtr revIDLastSave="0" documentId="13_ncr:1_{FD67FB36-672F-4E86-895B-D0C85F94DD4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графік'!$B$36:$X$280</definedName>
    <definedName name="_xlnm.Print_Area" localSheetId="1">'Ануїтетний графік погашення'!$B$3:$Y$278</definedName>
    <definedName name="_xlnm.Print_Area" localSheetId="0">'Умови та класичний графік'!$B$3:$V$278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2" l="1"/>
  <c r="J11" i="2"/>
  <c r="J13" i="2"/>
  <c r="J21" i="2"/>
  <c r="C37" i="1" l="1"/>
  <c r="S35" i="2" l="1"/>
  <c r="S37" i="1"/>
  <c r="J19" i="1"/>
  <c r="V37" i="1" s="1"/>
  <c r="J18" i="1"/>
  <c r="W38" i="1" l="1"/>
  <c r="W278" i="1" l="1"/>
  <c r="J21" i="1" l="1"/>
  <c r="W36" i="2"/>
  <c r="L39" i="2"/>
  <c r="L40" i="2"/>
  <c r="L41" i="2"/>
  <c r="L42" i="2"/>
  <c r="L43" i="2"/>
  <c r="L44" i="2"/>
  <c r="L45" i="2"/>
  <c r="L46" i="2"/>
  <c r="L48" i="2"/>
  <c r="L49" i="2"/>
  <c r="L50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2" i="2"/>
  <c r="L73" i="2"/>
  <c r="L74" i="2"/>
  <c r="L75" i="2"/>
  <c r="L76" i="2"/>
  <c r="L77" i="2"/>
  <c r="L78" i="2"/>
  <c r="L79" i="2"/>
  <c r="L80" i="2"/>
  <c r="L81" i="2"/>
  <c r="L82" i="2"/>
  <c r="L84" i="2"/>
  <c r="L85" i="2"/>
  <c r="L86" i="2"/>
  <c r="L87" i="2"/>
  <c r="L88" i="2"/>
  <c r="L89" i="2"/>
  <c r="L90" i="2"/>
  <c r="L91" i="2"/>
  <c r="L92" i="2"/>
  <c r="L93" i="2"/>
  <c r="L94" i="2"/>
  <c r="L96" i="2"/>
  <c r="L97" i="2"/>
  <c r="L98" i="2"/>
  <c r="L99" i="2"/>
  <c r="L100" i="2"/>
  <c r="L101" i="2"/>
  <c r="L102" i="2"/>
  <c r="L103" i="2"/>
  <c r="L104" i="2"/>
  <c r="L105" i="2"/>
  <c r="L106" i="2"/>
  <c r="L108" i="2"/>
  <c r="L109" i="2"/>
  <c r="L110" i="2"/>
  <c r="L111" i="2"/>
  <c r="L112" i="2"/>
  <c r="L113" i="2"/>
  <c r="L114" i="2"/>
  <c r="L115" i="2"/>
  <c r="L116" i="2"/>
  <c r="L117" i="2"/>
  <c r="L118" i="2"/>
  <c r="L120" i="2"/>
  <c r="L121" i="2"/>
  <c r="L122" i="2"/>
  <c r="L123" i="2"/>
  <c r="L124" i="2"/>
  <c r="L125" i="2"/>
  <c r="L126" i="2"/>
  <c r="L127" i="2"/>
  <c r="L128" i="2"/>
  <c r="L129" i="2"/>
  <c r="L130" i="2"/>
  <c r="L132" i="2"/>
  <c r="L133" i="2"/>
  <c r="L134" i="2"/>
  <c r="L135" i="2"/>
  <c r="L136" i="2"/>
  <c r="L137" i="2"/>
  <c r="L138" i="2"/>
  <c r="L139" i="2"/>
  <c r="L140" i="2"/>
  <c r="L141" i="2"/>
  <c r="L142" i="2"/>
  <c r="L144" i="2"/>
  <c r="L145" i="2"/>
  <c r="L146" i="2"/>
  <c r="L147" i="2"/>
  <c r="L148" i="2"/>
  <c r="L149" i="2"/>
  <c r="L150" i="2"/>
  <c r="L151" i="2"/>
  <c r="L152" i="2"/>
  <c r="L153" i="2"/>
  <c r="L154" i="2"/>
  <c r="L156" i="2"/>
  <c r="L157" i="2"/>
  <c r="L158" i="2"/>
  <c r="L159" i="2"/>
  <c r="L160" i="2"/>
  <c r="L161" i="2"/>
  <c r="L162" i="2"/>
  <c r="L163" i="2"/>
  <c r="L164" i="2"/>
  <c r="L165" i="2"/>
  <c r="L166" i="2"/>
  <c r="L168" i="2"/>
  <c r="L169" i="2"/>
  <c r="L170" i="2"/>
  <c r="L171" i="2"/>
  <c r="L172" i="2"/>
  <c r="L173" i="2"/>
  <c r="L174" i="2"/>
  <c r="L175" i="2"/>
  <c r="L176" i="2"/>
  <c r="L177" i="2"/>
  <c r="L178" i="2"/>
  <c r="L180" i="2"/>
  <c r="L181" i="2"/>
  <c r="L182" i="2"/>
  <c r="L183" i="2"/>
  <c r="L184" i="2"/>
  <c r="L185" i="2"/>
  <c r="L186" i="2"/>
  <c r="L187" i="2"/>
  <c r="L188" i="2"/>
  <c r="L189" i="2"/>
  <c r="L190" i="2"/>
  <c r="L192" i="2"/>
  <c r="L193" i="2"/>
  <c r="L194" i="2"/>
  <c r="L195" i="2"/>
  <c r="L196" i="2"/>
  <c r="L197" i="2"/>
  <c r="L198" i="2"/>
  <c r="L199" i="2"/>
  <c r="L200" i="2"/>
  <c r="L201" i="2"/>
  <c r="L202" i="2"/>
  <c r="L204" i="2"/>
  <c r="L205" i="2"/>
  <c r="L206" i="2"/>
  <c r="L207" i="2"/>
  <c r="L208" i="2"/>
  <c r="L209" i="2"/>
  <c r="L210" i="2"/>
  <c r="L211" i="2"/>
  <c r="L212" i="2"/>
  <c r="L213" i="2"/>
  <c r="L214" i="2"/>
  <c r="L216" i="2"/>
  <c r="L217" i="2"/>
  <c r="L218" i="2"/>
  <c r="L219" i="2"/>
  <c r="L220" i="2"/>
  <c r="L221" i="2"/>
  <c r="L222" i="2"/>
  <c r="L223" i="2"/>
  <c r="L224" i="2"/>
  <c r="L225" i="2"/>
  <c r="L226" i="2"/>
  <c r="L228" i="2"/>
  <c r="L229" i="2"/>
  <c r="L230" i="2"/>
  <c r="L231" i="2"/>
  <c r="L232" i="2"/>
  <c r="L233" i="2"/>
  <c r="L234" i="2"/>
  <c r="L235" i="2"/>
  <c r="L236" i="2"/>
  <c r="L237" i="2"/>
  <c r="L238" i="2"/>
  <c r="L240" i="2"/>
  <c r="L241" i="2"/>
  <c r="L242" i="2"/>
  <c r="L243" i="2"/>
  <c r="L244" i="2"/>
  <c r="L245" i="2"/>
  <c r="L246" i="2"/>
  <c r="L247" i="2"/>
  <c r="L248" i="2"/>
  <c r="L249" i="2"/>
  <c r="L250" i="2"/>
  <c r="L252" i="2"/>
  <c r="L253" i="2"/>
  <c r="L254" i="2"/>
  <c r="L255" i="2"/>
  <c r="L256" i="2"/>
  <c r="L257" i="2"/>
  <c r="L258" i="2"/>
  <c r="L259" i="2"/>
  <c r="L260" i="2"/>
  <c r="L261" i="2"/>
  <c r="L262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38" i="2"/>
  <c r="L37" i="2"/>
  <c r="L36" i="2"/>
  <c r="J17" i="2" l="1"/>
  <c r="V35" i="2" s="1"/>
  <c r="V276" i="2" s="1"/>
  <c r="N276" i="2"/>
  <c r="M276" i="2"/>
  <c r="D38" i="2"/>
  <c r="C38" i="2"/>
  <c r="D39" i="2" s="1"/>
  <c r="E37" i="2"/>
  <c r="D37" i="2"/>
  <c r="E36" i="2"/>
  <c r="T35" i="2"/>
  <c r="T276" i="2" s="1"/>
  <c r="S276" i="2"/>
  <c r="R35" i="2"/>
  <c r="R276" i="2" s="1"/>
  <c r="Q35" i="2"/>
  <c r="Q276" i="2" s="1"/>
  <c r="P35" i="2"/>
  <c r="P276" i="2" s="1"/>
  <c r="D36" i="2"/>
  <c r="J19" i="2" l="1"/>
  <c r="J16" i="2"/>
  <c r="J14" i="2"/>
  <c r="J20" i="2"/>
  <c r="F36" i="2"/>
  <c r="F37" i="2"/>
  <c r="E38" i="2"/>
  <c r="F38" i="2" s="1"/>
  <c r="C39" i="2"/>
  <c r="O26" i="2" l="1"/>
  <c r="O35" i="2"/>
  <c r="A37" i="2"/>
  <c r="O276" i="2"/>
  <c r="U35" i="2"/>
  <c r="D40" i="2"/>
  <c r="C40" i="2"/>
  <c r="E39" i="2"/>
  <c r="F39" i="2" s="1"/>
  <c r="L35" i="2" l="1"/>
  <c r="G35" i="2" s="1"/>
  <c r="K158" i="2"/>
  <c r="K162" i="2"/>
  <c r="K166" i="2"/>
  <c r="K170" i="2"/>
  <c r="K174" i="2"/>
  <c r="K178" i="2"/>
  <c r="K182" i="2"/>
  <c r="K186" i="2"/>
  <c r="K190" i="2"/>
  <c r="K194" i="2"/>
  <c r="K198" i="2"/>
  <c r="K202" i="2"/>
  <c r="K206" i="2"/>
  <c r="K210" i="2"/>
  <c r="K214" i="2"/>
  <c r="K218" i="2"/>
  <c r="K222" i="2"/>
  <c r="K226" i="2"/>
  <c r="K230" i="2"/>
  <c r="K234" i="2"/>
  <c r="K238" i="2"/>
  <c r="K242" i="2"/>
  <c r="K246" i="2"/>
  <c r="K250" i="2"/>
  <c r="K254" i="2"/>
  <c r="K258" i="2"/>
  <c r="K262" i="2"/>
  <c r="K266" i="2"/>
  <c r="K270" i="2"/>
  <c r="K274" i="2"/>
  <c r="K163" i="2"/>
  <c r="K171" i="2"/>
  <c r="K179" i="2"/>
  <c r="K187" i="2"/>
  <c r="K195" i="2"/>
  <c r="K203" i="2"/>
  <c r="K211" i="2"/>
  <c r="K219" i="2"/>
  <c r="K227" i="2"/>
  <c r="K235" i="2"/>
  <c r="K243" i="2"/>
  <c r="K251" i="2"/>
  <c r="K259" i="2"/>
  <c r="K267" i="2"/>
  <c r="K275" i="2"/>
  <c r="J159" i="2"/>
  <c r="J163" i="2"/>
  <c r="G163" i="2" s="1"/>
  <c r="J167" i="2"/>
  <c r="J171" i="2"/>
  <c r="J175" i="2"/>
  <c r="J179" i="2"/>
  <c r="J183" i="2"/>
  <c r="J187" i="2"/>
  <c r="J191" i="2"/>
  <c r="J195" i="2"/>
  <c r="G195" i="2" s="1"/>
  <c r="J199" i="2"/>
  <c r="J203" i="2"/>
  <c r="J207" i="2"/>
  <c r="J211" i="2"/>
  <c r="G211" i="2" s="1"/>
  <c r="J215" i="2"/>
  <c r="J219" i="2"/>
  <c r="J223" i="2"/>
  <c r="J227" i="2"/>
  <c r="J231" i="2"/>
  <c r="J235" i="2"/>
  <c r="J239" i="2"/>
  <c r="J243" i="2"/>
  <c r="G243" i="2" s="1"/>
  <c r="J247" i="2"/>
  <c r="J251" i="2"/>
  <c r="J255" i="2"/>
  <c r="J259" i="2"/>
  <c r="G259" i="2" s="1"/>
  <c r="J263" i="2"/>
  <c r="J267" i="2"/>
  <c r="J271" i="2"/>
  <c r="J275" i="2"/>
  <c r="G275" i="2" s="1"/>
  <c r="K161" i="2"/>
  <c r="K169" i="2"/>
  <c r="K177" i="2"/>
  <c r="K185" i="2"/>
  <c r="K193" i="2"/>
  <c r="K201" i="2"/>
  <c r="K209" i="2"/>
  <c r="K217" i="2"/>
  <c r="K225" i="2"/>
  <c r="K233" i="2"/>
  <c r="K241" i="2"/>
  <c r="K249" i="2"/>
  <c r="K257" i="2"/>
  <c r="K265" i="2"/>
  <c r="K273" i="2"/>
  <c r="J158" i="2"/>
  <c r="G158" i="2" s="1"/>
  <c r="J162" i="2"/>
  <c r="J166" i="2"/>
  <c r="J170" i="2"/>
  <c r="G170" i="2" s="1"/>
  <c r="J174" i="2"/>
  <c r="G174" i="2" s="1"/>
  <c r="J178" i="2"/>
  <c r="J182" i="2"/>
  <c r="J186" i="2"/>
  <c r="G186" i="2" s="1"/>
  <c r="J190" i="2"/>
  <c r="G190" i="2" s="1"/>
  <c r="J194" i="2"/>
  <c r="J198" i="2"/>
  <c r="J206" i="2"/>
  <c r="J214" i="2"/>
  <c r="G214" i="2" s="1"/>
  <c r="J222" i="2"/>
  <c r="J230" i="2"/>
  <c r="J238" i="2"/>
  <c r="J246" i="2"/>
  <c r="G246" i="2" s="1"/>
  <c r="J254" i="2"/>
  <c r="J262" i="2"/>
  <c r="J270" i="2"/>
  <c r="J200" i="2"/>
  <c r="J208" i="2"/>
  <c r="J216" i="2"/>
  <c r="J224" i="2"/>
  <c r="J232" i="2"/>
  <c r="J240" i="2"/>
  <c r="J248" i="2"/>
  <c r="J256" i="2"/>
  <c r="J264" i="2"/>
  <c r="J272" i="2"/>
  <c r="K156" i="2"/>
  <c r="K160" i="2"/>
  <c r="K164" i="2"/>
  <c r="K168" i="2"/>
  <c r="K172" i="2"/>
  <c r="K176" i="2"/>
  <c r="K180" i="2"/>
  <c r="K184" i="2"/>
  <c r="K188" i="2"/>
  <c r="K192" i="2"/>
  <c r="K196" i="2"/>
  <c r="K200" i="2"/>
  <c r="K204" i="2"/>
  <c r="K208" i="2"/>
  <c r="K212" i="2"/>
  <c r="K216" i="2"/>
  <c r="K220" i="2"/>
  <c r="K224" i="2"/>
  <c r="K228" i="2"/>
  <c r="K232" i="2"/>
  <c r="K236" i="2"/>
  <c r="K240" i="2"/>
  <c r="K244" i="2"/>
  <c r="K248" i="2"/>
  <c r="K252" i="2"/>
  <c r="K256" i="2"/>
  <c r="K260" i="2"/>
  <c r="K264" i="2"/>
  <c r="K268" i="2"/>
  <c r="K272" i="2"/>
  <c r="K159" i="2"/>
  <c r="K167" i="2"/>
  <c r="K175" i="2"/>
  <c r="K183" i="2"/>
  <c r="K191" i="2"/>
  <c r="K199" i="2"/>
  <c r="K207" i="2"/>
  <c r="K215" i="2"/>
  <c r="K223" i="2"/>
  <c r="K231" i="2"/>
  <c r="K239" i="2"/>
  <c r="K247" i="2"/>
  <c r="K255" i="2"/>
  <c r="K263" i="2"/>
  <c r="K271" i="2"/>
  <c r="J157" i="2"/>
  <c r="J161" i="2"/>
  <c r="J165" i="2"/>
  <c r="J169" i="2"/>
  <c r="G169" i="2" s="1"/>
  <c r="J173" i="2"/>
  <c r="J181" i="2"/>
  <c r="J189" i="2"/>
  <c r="J197" i="2"/>
  <c r="J205" i="2"/>
  <c r="J213" i="2"/>
  <c r="J221" i="2"/>
  <c r="J229" i="2"/>
  <c r="J237" i="2"/>
  <c r="J245" i="2"/>
  <c r="J253" i="2"/>
  <c r="J261" i="2"/>
  <c r="J269" i="2"/>
  <c r="K157" i="2"/>
  <c r="K173" i="2"/>
  <c r="K189" i="2"/>
  <c r="K205" i="2"/>
  <c r="K221" i="2"/>
  <c r="K237" i="2"/>
  <c r="K253" i="2"/>
  <c r="K269" i="2"/>
  <c r="J160" i="2"/>
  <c r="J168" i="2"/>
  <c r="G168" i="2" s="1"/>
  <c r="J176" i="2"/>
  <c r="J184" i="2"/>
  <c r="G184" i="2" s="1"/>
  <c r="J192" i="2"/>
  <c r="J202" i="2"/>
  <c r="G202" i="2" s="1"/>
  <c r="J218" i="2"/>
  <c r="J234" i="2"/>
  <c r="G234" i="2" s="1"/>
  <c r="J250" i="2"/>
  <c r="J266" i="2"/>
  <c r="G266" i="2" s="1"/>
  <c r="J204" i="2"/>
  <c r="G204" i="2" s="1"/>
  <c r="J220" i="2"/>
  <c r="J236" i="2"/>
  <c r="G236" i="2" s="1"/>
  <c r="J252" i="2"/>
  <c r="J268" i="2"/>
  <c r="G268" i="2" s="1"/>
  <c r="J177" i="2"/>
  <c r="G177" i="2" s="1"/>
  <c r="J185" i="2"/>
  <c r="G185" i="2" s="1"/>
  <c r="J193" i="2"/>
  <c r="G193" i="2" s="1"/>
  <c r="J201" i="2"/>
  <c r="G201" i="2" s="1"/>
  <c r="J209" i="2"/>
  <c r="G209" i="2" s="1"/>
  <c r="J217" i="2"/>
  <c r="G217" i="2" s="1"/>
  <c r="J225" i="2"/>
  <c r="G225" i="2" s="1"/>
  <c r="J233" i="2"/>
  <c r="G233" i="2" s="1"/>
  <c r="J241" i="2"/>
  <c r="G241" i="2" s="1"/>
  <c r="J249" i="2"/>
  <c r="G249" i="2" s="1"/>
  <c r="J257" i="2"/>
  <c r="G257" i="2" s="1"/>
  <c r="J265" i="2"/>
  <c r="G265" i="2" s="1"/>
  <c r="J273" i="2"/>
  <c r="G273" i="2" s="1"/>
  <c r="K165" i="2"/>
  <c r="K181" i="2"/>
  <c r="K197" i="2"/>
  <c r="K213" i="2"/>
  <c r="K229" i="2"/>
  <c r="K245" i="2"/>
  <c r="K261" i="2"/>
  <c r="J156" i="2"/>
  <c r="J164" i="2"/>
  <c r="G164" i="2" s="1"/>
  <c r="J172" i="2"/>
  <c r="J180" i="2"/>
  <c r="J188" i="2"/>
  <c r="J196" i="2"/>
  <c r="G196" i="2" s="1"/>
  <c r="J210" i="2"/>
  <c r="J226" i="2"/>
  <c r="J242" i="2"/>
  <c r="G242" i="2" s="1"/>
  <c r="J258" i="2"/>
  <c r="J274" i="2"/>
  <c r="J212" i="2"/>
  <c r="J228" i="2"/>
  <c r="J244" i="2"/>
  <c r="G244" i="2" s="1"/>
  <c r="J260" i="2"/>
  <c r="K42" i="2"/>
  <c r="K46" i="2"/>
  <c r="K50" i="2"/>
  <c r="K54" i="2"/>
  <c r="K58" i="2"/>
  <c r="K62" i="2"/>
  <c r="K66" i="2"/>
  <c r="K70" i="2"/>
  <c r="K74" i="2"/>
  <c r="K78" i="2"/>
  <c r="K82" i="2"/>
  <c r="K86" i="2"/>
  <c r="K90" i="2"/>
  <c r="K94" i="2"/>
  <c r="K98" i="2"/>
  <c r="K102" i="2"/>
  <c r="K106" i="2"/>
  <c r="K110" i="2"/>
  <c r="K114" i="2"/>
  <c r="K118" i="2"/>
  <c r="K122" i="2"/>
  <c r="K126" i="2"/>
  <c r="K130" i="2"/>
  <c r="K134" i="2"/>
  <c r="K138" i="2"/>
  <c r="K142" i="2"/>
  <c r="K146" i="2"/>
  <c r="K150" i="2"/>
  <c r="K154" i="2"/>
  <c r="J39" i="2"/>
  <c r="J43" i="2"/>
  <c r="J47" i="2"/>
  <c r="J51" i="2"/>
  <c r="J55" i="2"/>
  <c r="J59" i="2"/>
  <c r="J63" i="2"/>
  <c r="J67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J48" i="2"/>
  <c r="J56" i="2"/>
  <c r="J64" i="2"/>
  <c r="J71" i="2"/>
  <c r="J75" i="2"/>
  <c r="J79" i="2"/>
  <c r="G79" i="2" s="1"/>
  <c r="J83" i="2"/>
  <c r="J87" i="2"/>
  <c r="J91" i="2"/>
  <c r="J95" i="2"/>
  <c r="J99" i="2"/>
  <c r="J103" i="2"/>
  <c r="J107" i="2"/>
  <c r="J111" i="2"/>
  <c r="G111" i="2" s="1"/>
  <c r="J115" i="2"/>
  <c r="J119" i="2"/>
  <c r="J123" i="2"/>
  <c r="J127" i="2"/>
  <c r="J131" i="2"/>
  <c r="J135" i="2"/>
  <c r="J139" i="2"/>
  <c r="J143" i="2"/>
  <c r="J147" i="2"/>
  <c r="J151" i="2"/>
  <c r="J155" i="2"/>
  <c r="J36" i="2"/>
  <c r="K45" i="2"/>
  <c r="K53" i="2"/>
  <c r="K61" i="2"/>
  <c r="K69" i="2"/>
  <c r="K77" i="2"/>
  <c r="K85" i="2"/>
  <c r="K44" i="2"/>
  <c r="K52" i="2"/>
  <c r="K60" i="2"/>
  <c r="K68" i="2"/>
  <c r="K76" i="2"/>
  <c r="K84" i="2"/>
  <c r="K92" i="2"/>
  <c r="K100" i="2"/>
  <c r="K108" i="2"/>
  <c r="K116" i="2"/>
  <c r="K124" i="2"/>
  <c r="K132" i="2"/>
  <c r="K140" i="2"/>
  <c r="K148" i="2"/>
  <c r="K38" i="2"/>
  <c r="J45" i="2"/>
  <c r="J53" i="2"/>
  <c r="J61" i="2"/>
  <c r="J69" i="2"/>
  <c r="K51" i="2"/>
  <c r="K67" i="2"/>
  <c r="K83" i="2"/>
  <c r="K99" i="2"/>
  <c r="K115" i="2"/>
  <c r="K131" i="2"/>
  <c r="K147" i="2"/>
  <c r="J44" i="2"/>
  <c r="J60" i="2"/>
  <c r="J73" i="2"/>
  <c r="J81" i="2"/>
  <c r="J89" i="2"/>
  <c r="J97" i="2"/>
  <c r="J105" i="2"/>
  <c r="J113" i="2"/>
  <c r="J121" i="2"/>
  <c r="J129" i="2"/>
  <c r="J137" i="2"/>
  <c r="J145" i="2"/>
  <c r="J153" i="2"/>
  <c r="K41" i="2"/>
  <c r="K57" i="2"/>
  <c r="K73" i="2"/>
  <c r="K89" i="2"/>
  <c r="K97" i="2"/>
  <c r="K105" i="2"/>
  <c r="K113" i="2"/>
  <c r="K121" i="2"/>
  <c r="K129" i="2"/>
  <c r="K137" i="2"/>
  <c r="K145" i="2"/>
  <c r="K153" i="2"/>
  <c r="J42" i="2"/>
  <c r="G42" i="2" s="1"/>
  <c r="J50" i="2"/>
  <c r="J58" i="2"/>
  <c r="J66" i="2"/>
  <c r="J72" i="2"/>
  <c r="J76" i="2"/>
  <c r="G76" i="2" s="1"/>
  <c r="J80" i="2"/>
  <c r="J84" i="2"/>
  <c r="J88" i="2"/>
  <c r="J92" i="2"/>
  <c r="J96" i="2"/>
  <c r="J100" i="2"/>
  <c r="J104" i="2"/>
  <c r="J108" i="2"/>
  <c r="G108" i="2" s="1"/>
  <c r="J112" i="2"/>
  <c r="J116" i="2"/>
  <c r="J120" i="2"/>
  <c r="J124" i="2"/>
  <c r="J128" i="2"/>
  <c r="J132" i="2"/>
  <c r="J136" i="2"/>
  <c r="J140" i="2"/>
  <c r="G140" i="2" s="1"/>
  <c r="J144" i="2"/>
  <c r="J148" i="2"/>
  <c r="J152" i="2"/>
  <c r="K40" i="2"/>
  <c r="K48" i="2"/>
  <c r="K56" i="2"/>
  <c r="K64" i="2"/>
  <c r="K72" i="2"/>
  <c r="K80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J65" i="2"/>
  <c r="K43" i="2"/>
  <c r="K59" i="2"/>
  <c r="K75" i="2"/>
  <c r="K91" i="2"/>
  <c r="K107" i="2"/>
  <c r="K123" i="2"/>
  <c r="K139" i="2"/>
  <c r="K155" i="2"/>
  <c r="J52" i="2"/>
  <c r="J68" i="2"/>
  <c r="J77" i="2"/>
  <c r="J85" i="2"/>
  <c r="J93" i="2"/>
  <c r="J101" i="2"/>
  <c r="J109" i="2"/>
  <c r="J117" i="2"/>
  <c r="J125" i="2"/>
  <c r="J133" i="2"/>
  <c r="J141" i="2"/>
  <c r="J149" i="2"/>
  <c r="K36" i="2"/>
  <c r="K49" i="2"/>
  <c r="K65" i="2"/>
  <c r="K81" i="2"/>
  <c r="K93" i="2"/>
  <c r="K101" i="2"/>
  <c r="K109" i="2"/>
  <c r="K117" i="2"/>
  <c r="K125" i="2"/>
  <c r="K133" i="2"/>
  <c r="K141" i="2"/>
  <c r="K149" i="2"/>
  <c r="J38" i="2"/>
  <c r="J46" i="2"/>
  <c r="G46" i="2" s="1"/>
  <c r="J54" i="2"/>
  <c r="J62" i="2"/>
  <c r="J70" i="2"/>
  <c r="J74" i="2"/>
  <c r="J78" i="2"/>
  <c r="J82" i="2"/>
  <c r="J86" i="2"/>
  <c r="J90" i="2"/>
  <c r="J94" i="2"/>
  <c r="J98" i="2"/>
  <c r="J102" i="2"/>
  <c r="J106" i="2"/>
  <c r="J110" i="2"/>
  <c r="J114" i="2"/>
  <c r="J118" i="2"/>
  <c r="J122" i="2"/>
  <c r="J126" i="2"/>
  <c r="J130" i="2"/>
  <c r="J134" i="2"/>
  <c r="J138" i="2"/>
  <c r="J142" i="2"/>
  <c r="J146" i="2"/>
  <c r="J150" i="2"/>
  <c r="J154" i="2"/>
  <c r="K37" i="2"/>
  <c r="J37" i="2"/>
  <c r="D41" i="2"/>
  <c r="C41" i="2"/>
  <c r="E40" i="2"/>
  <c r="F40" i="2" s="1"/>
  <c r="J16" i="1"/>
  <c r="J22" i="1"/>
  <c r="G124" i="2" l="1"/>
  <c r="G92" i="2"/>
  <c r="G58" i="2"/>
  <c r="G127" i="2"/>
  <c r="G62" i="2"/>
  <c r="G274" i="2"/>
  <c r="G210" i="2"/>
  <c r="O28" i="1"/>
  <c r="G212" i="2"/>
  <c r="G180" i="2"/>
  <c r="G262" i="2"/>
  <c r="G230" i="2"/>
  <c r="G198" i="2"/>
  <c r="G182" i="2"/>
  <c r="G166" i="2"/>
  <c r="G194" i="2"/>
  <c r="G178" i="2"/>
  <c r="G162" i="2"/>
  <c r="G52" i="2"/>
  <c r="O37" i="1"/>
  <c r="G44" i="2"/>
  <c r="U37" i="1"/>
  <c r="G37" i="2"/>
  <c r="G154" i="2"/>
  <c r="G146" i="2"/>
  <c r="G138" i="2"/>
  <c r="G130" i="2"/>
  <c r="G122" i="2"/>
  <c r="G114" i="2"/>
  <c r="G106" i="2"/>
  <c r="G98" i="2"/>
  <c r="G90" i="2"/>
  <c r="G82" i="2"/>
  <c r="G74" i="2"/>
  <c r="G85" i="2"/>
  <c r="G68" i="2"/>
  <c r="G65" i="2"/>
  <c r="G148" i="2"/>
  <c r="G132" i="2"/>
  <c r="G116" i="2"/>
  <c r="G100" i="2"/>
  <c r="G84" i="2"/>
  <c r="G66" i="2"/>
  <c r="G50" i="2"/>
  <c r="G73" i="2"/>
  <c r="G69" i="2"/>
  <c r="G53" i="2"/>
  <c r="G147" i="2"/>
  <c r="G139" i="2"/>
  <c r="G115" i="2"/>
  <c r="G75" i="2"/>
  <c r="G64" i="2"/>
  <c r="G48" i="2"/>
  <c r="G63" i="2"/>
  <c r="G260" i="2"/>
  <c r="G228" i="2"/>
  <c r="G188" i="2"/>
  <c r="G172" i="2"/>
  <c r="G156" i="2"/>
  <c r="G252" i="2"/>
  <c r="G220" i="2"/>
  <c r="G253" i="2"/>
  <c r="G221" i="2"/>
  <c r="G189" i="2"/>
  <c r="G165" i="2"/>
  <c r="G157" i="2"/>
  <c r="G270" i="2"/>
  <c r="G254" i="2"/>
  <c r="G238" i="2"/>
  <c r="G222" i="2"/>
  <c r="G206" i="2"/>
  <c r="G271" i="2"/>
  <c r="G255" i="2"/>
  <c r="G223" i="2"/>
  <c r="G207" i="2"/>
  <c r="G175" i="2"/>
  <c r="G159" i="2"/>
  <c r="K276" i="2"/>
  <c r="I36" i="2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J276" i="2"/>
  <c r="G269" i="2"/>
  <c r="G237" i="2"/>
  <c r="G205" i="2"/>
  <c r="G173" i="2"/>
  <c r="G272" i="2"/>
  <c r="G256" i="2"/>
  <c r="G240" i="2"/>
  <c r="G224" i="2"/>
  <c r="G208" i="2"/>
  <c r="G247" i="2"/>
  <c r="G231" i="2"/>
  <c r="G199" i="2"/>
  <c r="G183" i="2"/>
  <c r="G258" i="2"/>
  <c r="G226" i="2"/>
  <c r="G250" i="2"/>
  <c r="G218" i="2"/>
  <c r="G192" i="2"/>
  <c r="G176" i="2"/>
  <c r="G160" i="2"/>
  <c r="G261" i="2"/>
  <c r="G245" i="2"/>
  <c r="G229" i="2"/>
  <c r="G213" i="2"/>
  <c r="G197" i="2"/>
  <c r="G181" i="2"/>
  <c r="G161" i="2"/>
  <c r="G264" i="2"/>
  <c r="G248" i="2"/>
  <c r="G232" i="2"/>
  <c r="G216" i="2"/>
  <c r="G200" i="2"/>
  <c r="G267" i="2"/>
  <c r="G235" i="2"/>
  <c r="G219" i="2"/>
  <c r="G187" i="2"/>
  <c r="G171" i="2"/>
  <c r="G149" i="2"/>
  <c r="G133" i="2"/>
  <c r="G117" i="2"/>
  <c r="G101" i="2"/>
  <c r="G49" i="2"/>
  <c r="G153" i="2"/>
  <c r="G137" i="2"/>
  <c r="G121" i="2"/>
  <c r="G105" i="2"/>
  <c r="G89" i="2"/>
  <c r="G123" i="2"/>
  <c r="G99" i="2"/>
  <c r="G91" i="2"/>
  <c r="G55" i="2"/>
  <c r="G39" i="2"/>
  <c r="G150" i="2"/>
  <c r="G142" i="2"/>
  <c r="G134" i="2"/>
  <c r="G126" i="2"/>
  <c r="G118" i="2"/>
  <c r="G110" i="2"/>
  <c r="G102" i="2"/>
  <c r="G94" i="2"/>
  <c r="G86" i="2"/>
  <c r="G78" i="2"/>
  <c r="G70" i="2"/>
  <c r="G54" i="2"/>
  <c r="G38" i="2"/>
  <c r="G141" i="2"/>
  <c r="G125" i="2"/>
  <c r="G109" i="2"/>
  <c r="G93" i="2"/>
  <c r="G77" i="2"/>
  <c r="G57" i="2"/>
  <c r="G152" i="2"/>
  <c r="G144" i="2"/>
  <c r="G136" i="2"/>
  <c r="G128" i="2"/>
  <c r="G120" i="2"/>
  <c r="G112" i="2"/>
  <c r="G104" i="2"/>
  <c r="G96" i="2"/>
  <c r="G88" i="2"/>
  <c r="G80" i="2"/>
  <c r="G72" i="2"/>
  <c r="G145" i="2"/>
  <c r="G129" i="2"/>
  <c r="G113" i="2"/>
  <c r="G97" i="2"/>
  <c r="G81" i="2"/>
  <c r="G60" i="2"/>
  <c r="G61" i="2"/>
  <c r="G45" i="2"/>
  <c r="G36" i="2"/>
  <c r="G151" i="2"/>
  <c r="G135" i="2"/>
  <c r="G103" i="2"/>
  <c r="G87" i="2"/>
  <c r="G56" i="2"/>
  <c r="G40" i="2"/>
  <c r="G67" i="2"/>
  <c r="G51" i="2"/>
  <c r="G43" i="2"/>
  <c r="D42" i="2"/>
  <c r="C42" i="2"/>
  <c r="E41" i="2"/>
  <c r="F41" i="2" s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1" i="1"/>
  <c r="L92" i="1"/>
  <c r="L93" i="1"/>
  <c r="L94" i="1"/>
  <c r="L95" i="1"/>
  <c r="L96" i="1"/>
  <c r="L98" i="1"/>
  <c r="L99" i="1"/>
  <c r="L100" i="1"/>
  <c r="L101" i="1"/>
  <c r="L102" i="1"/>
  <c r="L103" i="1"/>
  <c r="L104" i="1"/>
  <c r="L105" i="1"/>
  <c r="L106" i="1"/>
  <c r="L107" i="1"/>
  <c r="L108" i="1"/>
  <c r="L110" i="1"/>
  <c r="L111" i="1"/>
  <c r="L112" i="1"/>
  <c r="L113" i="1"/>
  <c r="L114" i="1"/>
  <c r="L115" i="1"/>
  <c r="L116" i="1"/>
  <c r="L117" i="1"/>
  <c r="L118" i="1"/>
  <c r="L119" i="1"/>
  <c r="L120" i="1"/>
  <c r="L122" i="1"/>
  <c r="L123" i="1"/>
  <c r="L124" i="1"/>
  <c r="L125" i="1"/>
  <c r="L126" i="1"/>
  <c r="L127" i="1"/>
  <c r="L128" i="1"/>
  <c r="L129" i="1"/>
  <c r="L130" i="1"/>
  <c r="L131" i="1"/>
  <c r="L132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7" i="1"/>
  <c r="L148" i="1"/>
  <c r="L149" i="1"/>
  <c r="L150" i="1"/>
  <c r="L151" i="1"/>
  <c r="L152" i="1"/>
  <c r="L153" i="1"/>
  <c r="L154" i="1"/>
  <c r="L155" i="1"/>
  <c r="L156" i="1"/>
  <c r="L158" i="1"/>
  <c r="L159" i="1"/>
  <c r="L160" i="1"/>
  <c r="L161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7" i="1"/>
  <c r="L178" i="1"/>
  <c r="L179" i="1"/>
  <c r="L180" i="1"/>
  <c r="L182" i="1"/>
  <c r="L183" i="1"/>
  <c r="L184" i="1"/>
  <c r="L185" i="1"/>
  <c r="L186" i="1"/>
  <c r="L187" i="1"/>
  <c r="L188" i="1"/>
  <c r="L189" i="1"/>
  <c r="L190" i="1"/>
  <c r="L191" i="1"/>
  <c r="L192" i="1"/>
  <c r="L194" i="1"/>
  <c r="L195" i="1"/>
  <c r="L196" i="1"/>
  <c r="L197" i="1"/>
  <c r="L198" i="1"/>
  <c r="L199" i="1"/>
  <c r="L200" i="1"/>
  <c r="L201" i="1"/>
  <c r="L202" i="1"/>
  <c r="L203" i="1"/>
  <c r="L204" i="1"/>
  <c r="L206" i="1"/>
  <c r="L207" i="1"/>
  <c r="L208" i="1"/>
  <c r="L209" i="1"/>
  <c r="L210" i="1"/>
  <c r="L211" i="1"/>
  <c r="L212" i="1"/>
  <c r="L213" i="1"/>
  <c r="L214" i="1"/>
  <c r="L215" i="1"/>
  <c r="L216" i="1"/>
  <c r="L218" i="1"/>
  <c r="L219" i="1"/>
  <c r="L220" i="1"/>
  <c r="L221" i="1"/>
  <c r="L222" i="1"/>
  <c r="L223" i="1"/>
  <c r="L224" i="1"/>
  <c r="L225" i="1"/>
  <c r="L226" i="1"/>
  <c r="L227" i="1"/>
  <c r="L228" i="1"/>
  <c r="L230" i="1"/>
  <c r="L231" i="1"/>
  <c r="L232" i="1"/>
  <c r="L233" i="1"/>
  <c r="L234" i="1"/>
  <c r="L235" i="1"/>
  <c r="L236" i="1"/>
  <c r="L237" i="1"/>
  <c r="L238" i="1"/>
  <c r="L239" i="1"/>
  <c r="L240" i="1"/>
  <c r="L242" i="1"/>
  <c r="L243" i="1"/>
  <c r="L244" i="1"/>
  <c r="L245" i="1"/>
  <c r="L246" i="1"/>
  <c r="L247" i="1"/>
  <c r="L248" i="1"/>
  <c r="L249" i="1"/>
  <c r="L250" i="1"/>
  <c r="L251" i="1"/>
  <c r="L252" i="1"/>
  <c r="L254" i="1"/>
  <c r="L255" i="1"/>
  <c r="L256" i="1"/>
  <c r="L257" i="1"/>
  <c r="L258" i="1"/>
  <c r="L259" i="1"/>
  <c r="L260" i="1"/>
  <c r="L261" i="1"/>
  <c r="L262" i="1"/>
  <c r="L263" i="1"/>
  <c r="L264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40" i="1"/>
  <c r="L41" i="1"/>
  <c r="C40" i="1"/>
  <c r="C41" i="1" s="1"/>
  <c r="E41" i="1" s="1"/>
  <c r="D40" i="1"/>
  <c r="W38" i="2" l="1"/>
  <c r="W37" i="2"/>
  <c r="W42" i="2"/>
  <c r="W40" i="2"/>
  <c r="W41" i="2"/>
  <c r="W39" i="2"/>
  <c r="C43" i="2"/>
  <c r="W43" i="2" s="1"/>
  <c r="D43" i="2"/>
  <c r="E42" i="2"/>
  <c r="F42" i="2" s="1"/>
  <c r="E40" i="1"/>
  <c r="F40" i="1" s="1"/>
  <c r="D41" i="1"/>
  <c r="F41" i="1" s="1"/>
  <c r="C42" i="1"/>
  <c r="D42" i="1"/>
  <c r="C44" i="2" l="1"/>
  <c r="E43" i="2"/>
  <c r="F43" i="2" s="1"/>
  <c r="D44" i="2"/>
  <c r="E42" i="1"/>
  <c r="F42" i="1" s="1"/>
  <c r="C43" i="1"/>
  <c r="D43" i="1"/>
  <c r="W44" i="2" l="1"/>
  <c r="C45" i="2"/>
  <c r="E44" i="2"/>
  <c r="F44" i="2" s="1"/>
  <c r="D45" i="2"/>
  <c r="C44" i="1"/>
  <c r="D44" i="1"/>
  <c r="E43" i="1"/>
  <c r="F43" i="1" s="1"/>
  <c r="W45" i="2" l="1"/>
  <c r="C46" i="2"/>
  <c r="E45" i="2"/>
  <c r="F45" i="2" s="1"/>
  <c r="D46" i="2"/>
  <c r="E44" i="1"/>
  <c r="F44" i="1" s="1"/>
  <c r="C45" i="1"/>
  <c r="D45" i="1"/>
  <c r="W46" i="2" l="1"/>
  <c r="C47" i="2"/>
  <c r="E46" i="2"/>
  <c r="F46" i="2" s="1"/>
  <c r="D47" i="2"/>
  <c r="C46" i="1"/>
  <c r="D46" i="1"/>
  <c r="E45" i="1"/>
  <c r="F45" i="1" s="1"/>
  <c r="D48" i="2" l="1"/>
  <c r="E47" i="2"/>
  <c r="F47" i="2" s="1"/>
  <c r="C48" i="2"/>
  <c r="E46" i="1"/>
  <c r="F46" i="1" s="1"/>
  <c r="C47" i="1"/>
  <c r="D47" i="1"/>
  <c r="D49" i="2" l="1"/>
  <c r="C49" i="2"/>
  <c r="E48" i="2"/>
  <c r="F48" i="2" s="1"/>
  <c r="C48" i="1"/>
  <c r="D48" i="1"/>
  <c r="E47" i="1"/>
  <c r="F47" i="1" s="1"/>
  <c r="D50" i="2" l="1"/>
  <c r="C50" i="2"/>
  <c r="E49" i="2"/>
  <c r="F49" i="2" s="1"/>
  <c r="E48" i="1"/>
  <c r="F48" i="1" s="1"/>
  <c r="C49" i="1"/>
  <c r="D49" i="1"/>
  <c r="D51" i="2" l="1"/>
  <c r="C51" i="2"/>
  <c r="E50" i="2"/>
  <c r="F50" i="2" s="1"/>
  <c r="C50" i="1"/>
  <c r="D50" i="1"/>
  <c r="E49" i="1"/>
  <c r="F49" i="1" s="1"/>
  <c r="D52" i="2" l="1"/>
  <c r="C52" i="2"/>
  <c r="E51" i="2"/>
  <c r="F51" i="2" s="1"/>
  <c r="E50" i="1"/>
  <c r="F50" i="1" s="1"/>
  <c r="C51" i="1"/>
  <c r="D51" i="1"/>
  <c r="U47" i="2" l="1"/>
  <c r="D53" i="2"/>
  <c r="C53" i="2"/>
  <c r="E52" i="2"/>
  <c r="F52" i="2" s="1"/>
  <c r="C52" i="1"/>
  <c r="D52" i="1"/>
  <c r="E51" i="1"/>
  <c r="F51" i="1" s="1"/>
  <c r="D54" i="2" l="1"/>
  <c r="C54" i="2"/>
  <c r="E53" i="2"/>
  <c r="F53" i="2" s="1"/>
  <c r="E52" i="1"/>
  <c r="F52" i="1" s="1"/>
  <c r="C53" i="1"/>
  <c r="D53" i="1"/>
  <c r="L47" i="2" l="1"/>
  <c r="D55" i="2"/>
  <c r="C55" i="2"/>
  <c r="E54" i="2"/>
  <c r="F54" i="2" s="1"/>
  <c r="C54" i="1"/>
  <c r="D54" i="1"/>
  <c r="E53" i="1"/>
  <c r="F53" i="1" s="1"/>
  <c r="G47" i="2" l="1"/>
  <c r="W51" i="2" s="1"/>
  <c r="D56" i="2"/>
  <c r="C56" i="2"/>
  <c r="E55" i="2"/>
  <c r="F55" i="2" s="1"/>
  <c r="E54" i="1"/>
  <c r="F54" i="1" s="1"/>
  <c r="C55" i="1"/>
  <c r="D55" i="1"/>
  <c r="W53" i="2" l="1"/>
  <c r="W56" i="2"/>
  <c r="W50" i="2"/>
  <c r="W49" i="2"/>
  <c r="W55" i="2"/>
  <c r="W52" i="2"/>
  <c r="W48" i="2"/>
  <c r="W54" i="2"/>
  <c r="W47" i="2"/>
  <c r="D57" i="2"/>
  <c r="C57" i="2"/>
  <c r="W57" i="2" s="1"/>
  <c r="E56" i="2"/>
  <c r="F56" i="2" s="1"/>
  <c r="C56" i="1"/>
  <c r="D56" i="1"/>
  <c r="E55" i="1"/>
  <c r="F55" i="1" s="1"/>
  <c r="D58" i="2" l="1"/>
  <c r="C58" i="2"/>
  <c r="W58" i="2" s="1"/>
  <c r="E57" i="2"/>
  <c r="F57" i="2" s="1"/>
  <c r="E56" i="1"/>
  <c r="F56" i="1" s="1"/>
  <c r="C57" i="1"/>
  <c r="D57" i="1"/>
  <c r="D59" i="2" l="1"/>
  <c r="C59" i="2"/>
  <c r="E58" i="2"/>
  <c r="F58" i="2" s="1"/>
  <c r="C58" i="1"/>
  <c r="D58" i="1"/>
  <c r="E57" i="1"/>
  <c r="F57" i="1" s="1"/>
  <c r="C60" i="2" l="1"/>
  <c r="D60" i="2"/>
  <c r="E59" i="2"/>
  <c r="F59" i="2" s="1"/>
  <c r="E58" i="1"/>
  <c r="F58" i="1" s="1"/>
  <c r="C59" i="1"/>
  <c r="D59" i="1"/>
  <c r="C61" i="2" l="1"/>
  <c r="E60" i="2"/>
  <c r="F60" i="2" s="1"/>
  <c r="D61" i="2"/>
  <c r="C60" i="1"/>
  <c r="D60" i="1"/>
  <c r="E59" i="1"/>
  <c r="F59" i="1" s="1"/>
  <c r="C62" i="2" l="1"/>
  <c r="E61" i="2"/>
  <c r="F61" i="2" s="1"/>
  <c r="D62" i="2"/>
  <c r="E60" i="1"/>
  <c r="F60" i="1" s="1"/>
  <c r="C61" i="1"/>
  <c r="D61" i="1"/>
  <c r="C63" i="2" l="1"/>
  <c r="E62" i="2"/>
  <c r="F62" i="2" s="1"/>
  <c r="D63" i="2"/>
  <c r="C62" i="1"/>
  <c r="D62" i="1"/>
  <c r="E61" i="1"/>
  <c r="F61" i="1" s="1"/>
  <c r="C64" i="2" l="1"/>
  <c r="E63" i="2"/>
  <c r="F63" i="2" s="1"/>
  <c r="D64" i="2"/>
  <c r="E62" i="1"/>
  <c r="F62" i="1" s="1"/>
  <c r="C63" i="1"/>
  <c r="D63" i="1"/>
  <c r="C65" i="2" l="1"/>
  <c r="E64" i="2"/>
  <c r="F64" i="2" s="1"/>
  <c r="D65" i="2"/>
  <c r="C64" i="1"/>
  <c r="D64" i="1"/>
  <c r="E63" i="1"/>
  <c r="F63" i="1" s="1"/>
  <c r="U59" i="2" l="1"/>
  <c r="C66" i="2"/>
  <c r="E65" i="2"/>
  <c r="F65" i="2" s="1"/>
  <c r="D66" i="2"/>
  <c r="E64" i="1"/>
  <c r="F64" i="1" s="1"/>
  <c r="C65" i="1"/>
  <c r="D65" i="1"/>
  <c r="L59" i="2" l="1"/>
  <c r="C67" i="2"/>
  <c r="E66" i="2"/>
  <c r="F66" i="2" s="1"/>
  <c r="D67" i="2"/>
  <c r="C66" i="1"/>
  <c r="D66" i="1"/>
  <c r="E65" i="1"/>
  <c r="F65" i="1" s="1"/>
  <c r="G59" i="2" l="1"/>
  <c r="W62" i="2" s="1"/>
  <c r="C68" i="2"/>
  <c r="E67" i="2"/>
  <c r="F67" i="2" s="1"/>
  <c r="D68" i="2"/>
  <c r="E66" i="1"/>
  <c r="F66" i="1" s="1"/>
  <c r="C67" i="1"/>
  <c r="D67" i="1"/>
  <c r="W60" i="2" l="1"/>
  <c r="W64" i="2"/>
  <c r="W63" i="2"/>
  <c r="W59" i="2"/>
  <c r="W68" i="2"/>
  <c r="W65" i="2"/>
  <c r="W61" i="2"/>
  <c r="W67" i="2"/>
  <c r="W66" i="2"/>
  <c r="C69" i="2"/>
  <c r="W69" i="2" s="1"/>
  <c r="E68" i="2"/>
  <c r="F68" i="2" s="1"/>
  <c r="D69" i="2"/>
  <c r="C68" i="1"/>
  <c r="D68" i="1"/>
  <c r="E67" i="1"/>
  <c r="F67" i="1" s="1"/>
  <c r="C70" i="2" l="1"/>
  <c r="W70" i="2" s="1"/>
  <c r="E69" i="2"/>
  <c r="F69" i="2" s="1"/>
  <c r="D70" i="2"/>
  <c r="E68" i="1"/>
  <c r="F68" i="1" s="1"/>
  <c r="C69" i="1"/>
  <c r="D69" i="1"/>
  <c r="C71" i="2" l="1"/>
  <c r="E70" i="2"/>
  <c r="F70" i="2" s="1"/>
  <c r="D71" i="2"/>
  <c r="C70" i="1"/>
  <c r="D70" i="1"/>
  <c r="E69" i="1"/>
  <c r="F69" i="1" s="1"/>
  <c r="D72" i="2" l="1"/>
  <c r="E71" i="2"/>
  <c r="F71" i="2" s="1"/>
  <c r="C72" i="2"/>
  <c r="E70" i="1"/>
  <c r="F70" i="1" s="1"/>
  <c r="C71" i="1"/>
  <c r="D71" i="1"/>
  <c r="D73" i="2" l="1"/>
  <c r="C73" i="2"/>
  <c r="E72" i="2"/>
  <c r="F72" i="2" s="1"/>
  <c r="C72" i="1"/>
  <c r="D72" i="1"/>
  <c r="E71" i="1"/>
  <c r="F71" i="1" s="1"/>
  <c r="D74" i="2" l="1"/>
  <c r="C74" i="2"/>
  <c r="E73" i="2"/>
  <c r="F73" i="2" s="1"/>
  <c r="E72" i="1"/>
  <c r="F72" i="1" s="1"/>
  <c r="C73" i="1"/>
  <c r="D73" i="1"/>
  <c r="D75" i="2" l="1"/>
  <c r="C75" i="2"/>
  <c r="E74" i="2"/>
  <c r="F74" i="2" s="1"/>
  <c r="C74" i="1"/>
  <c r="D74" i="1"/>
  <c r="E73" i="1"/>
  <c r="F73" i="1" s="1"/>
  <c r="D76" i="2" l="1"/>
  <c r="C76" i="2"/>
  <c r="E75" i="2"/>
  <c r="F75" i="2" s="1"/>
  <c r="E74" i="1"/>
  <c r="F74" i="1" s="1"/>
  <c r="C75" i="1"/>
  <c r="D75" i="1"/>
  <c r="D77" i="2" l="1"/>
  <c r="C77" i="2"/>
  <c r="E76" i="2"/>
  <c r="F76" i="2" s="1"/>
  <c r="C76" i="1"/>
  <c r="D76" i="1"/>
  <c r="E75" i="1"/>
  <c r="F75" i="1" s="1"/>
  <c r="U71" i="2" l="1"/>
  <c r="D78" i="2"/>
  <c r="C78" i="2"/>
  <c r="E77" i="2"/>
  <c r="F77" i="2" s="1"/>
  <c r="E76" i="1"/>
  <c r="F76" i="1" s="1"/>
  <c r="C77" i="1"/>
  <c r="D77" i="1"/>
  <c r="L71" i="2" l="1"/>
  <c r="D79" i="2"/>
  <c r="C79" i="2"/>
  <c r="E78" i="2"/>
  <c r="F78" i="2" s="1"/>
  <c r="D78" i="1"/>
  <c r="E77" i="1"/>
  <c r="F77" i="1" s="1"/>
  <c r="G71" i="2" l="1"/>
  <c r="W74" i="2" s="1"/>
  <c r="D80" i="2"/>
  <c r="C80" i="2"/>
  <c r="E79" i="2"/>
  <c r="F79" i="2" s="1"/>
  <c r="W76" i="2" l="1"/>
  <c r="W75" i="2"/>
  <c r="W72" i="2"/>
  <c r="W71" i="2"/>
  <c r="W80" i="2"/>
  <c r="W77" i="2"/>
  <c r="W73" i="2"/>
  <c r="W79" i="2"/>
  <c r="W78" i="2"/>
  <c r="D81" i="2"/>
  <c r="C81" i="2"/>
  <c r="W81" i="2" s="1"/>
  <c r="E80" i="2"/>
  <c r="F80" i="2" s="1"/>
  <c r="C78" i="1"/>
  <c r="D82" i="2" l="1"/>
  <c r="C82" i="2"/>
  <c r="W82" i="2" s="1"/>
  <c r="E81" i="2"/>
  <c r="F81" i="2" s="1"/>
  <c r="C79" i="1"/>
  <c r="E78" i="1"/>
  <c r="F78" i="1" s="1"/>
  <c r="D79" i="1"/>
  <c r="E39" i="1"/>
  <c r="E38" i="1"/>
  <c r="D39" i="1"/>
  <c r="J38" i="1"/>
  <c r="I38" i="1" s="1"/>
  <c r="D83" i="2" l="1"/>
  <c r="C83" i="2"/>
  <c r="E82" i="2"/>
  <c r="F82" i="2" s="1"/>
  <c r="C80" i="1"/>
  <c r="D80" i="1"/>
  <c r="E79" i="1"/>
  <c r="F79" i="1" s="1"/>
  <c r="J39" i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C84" i="2" l="1"/>
  <c r="D84" i="2"/>
  <c r="E83" i="2"/>
  <c r="F83" i="2" s="1"/>
  <c r="C81" i="1"/>
  <c r="E80" i="1"/>
  <c r="F80" i="1" s="1"/>
  <c r="D81" i="1"/>
  <c r="F39" i="1"/>
  <c r="K39" i="1" s="1"/>
  <c r="C85" i="2" l="1"/>
  <c r="E84" i="2"/>
  <c r="F84" i="2" s="1"/>
  <c r="D85" i="2"/>
  <c r="C82" i="1"/>
  <c r="D82" i="1"/>
  <c r="E81" i="1"/>
  <c r="F81" i="1" s="1"/>
  <c r="C86" i="2" l="1"/>
  <c r="E85" i="2"/>
  <c r="F85" i="2" s="1"/>
  <c r="D86" i="2"/>
  <c r="C83" i="1"/>
  <c r="E82" i="1"/>
  <c r="F82" i="1" s="1"/>
  <c r="D83" i="1"/>
  <c r="I39" i="1"/>
  <c r="K40" i="1" s="1"/>
  <c r="C87" i="2" l="1"/>
  <c r="E86" i="2"/>
  <c r="F86" i="2" s="1"/>
  <c r="D87" i="2"/>
  <c r="I40" i="1"/>
  <c r="G40" i="1"/>
  <c r="C84" i="1"/>
  <c r="D84" i="1"/>
  <c r="E83" i="1"/>
  <c r="F83" i="1" s="1"/>
  <c r="D38" i="1"/>
  <c r="C88" i="2" l="1"/>
  <c r="E87" i="2"/>
  <c r="F87" i="2" s="1"/>
  <c r="D88" i="2"/>
  <c r="I41" i="1"/>
  <c r="K41" i="1"/>
  <c r="G41" i="1" s="1"/>
  <c r="C85" i="1"/>
  <c r="E84" i="1"/>
  <c r="F84" i="1" s="1"/>
  <c r="D85" i="1"/>
  <c r="L38" i="1"/>
  <c r="L39" i="1"/>
  <c r="S278" i="1"/>
  <c r="N278" i="1"/>
  <c r="F38" i="1"/>
  <c r="K38" i="1" s="1"/>
  <c r="P37" i="1"/>
  <c r="Q37" i="1"/>
  <c r="Q278" i="1" s="1"/>
  <c r="R37" i="1"/>
  <c r="R278" i="1" s="1"/>
  <c r="T37" i="1"/>
  <c r="T278" i="1" s="1"/>
  <c r="V278" i="1"/>
  <c r="P278" i="1" l="1"/>
  <c r="L37" i="1"/>
  <c r="C89" i="2"/>
  <c r="E88" i="2"/>
  <c r="F88" i="2" s="1"/>
  <c r="D89" i="2"/>
  <c r="I42" i="1"/>
  <c r="K42" i="1"/>
  <c r="G42" i="1" s="1"/>
  <c r="C86" i="1"/>
  <c r="D86" i="1"/>
  <c r="E85" i="1"/>
  <c r="F85" i="1" s="1"/>
  <c r="G39" i="1"/>
  <c r="G38" i="1"/>
  <c r="U83" i="2" l="1"/>
  <c r="C90" i="2"/>
  <c r="E89" i="2"/>
  <c r="F89" i="2" s="1"/>
  <c r="D90" i="2"/>
  <c r="I43" i="1"/>
  <c r="K43" i="1"/>
  <c r="G43" i="1" s="1"/>
  <c r="C87" i="1"/>
  <c r="E86" i="1"/>
  <c r="F86" i="1" s="1"/>
  <c r="D87" i="1"/>
  <c r="L83" i="2" l="1"/>
  <c r="C91" i="2"/>
  <c r="E90" i="2"/>
  <c r="F90" i="2" s="1"/>
  <c r="D91" i="2"/>
  <c r="K44" i="1"/>
  <c r="G44" i="1" s="1"/>
  <c r="I44" i="1"/>
  <c r="C88" i="1"/>
  <c r="D88" i="1"/>
  <c r="E87" i="1"/>
  <c r="F87" i="1" s="1"/>
  <c r="G83" i="2" l="1"/>
  <c r="W86" i="2" s="1"/>
  <c r="C92" i="2"/>
  <c r="E91" i="2"/>
  <c r="F91" i="2" s="1"/>
  <c r="D92" i="2"/>
  <c r="K45" i="1"/>
  <c r="G45" i="1" s="1"/>
  <c r="I45" i="1"/>
  <c r="C89" i="1"/>
  <c r="E88" i="1"/>
  <c r="F88" i="1" s="1"/>
  <c r="D89" i="1"/>
  <c r="W88" i="2" l="1"/>
  <c r="W87" i="2"/>
  <c r="W92" i="2"/>
  <c r="W84" i="2"/>
  <c r="W83" i="2"/>
  <c r="W89" i="2"/>
  <c r="W85" i="2"/>
  <c r="W91" i="2"/>
  <c r="W90" i="2"/>
  <c r="C93" i="2"/>
  <c r="W93" i="2" s="1"/>
  <c r="E92" i="2"/>
  <c r="F92" i="2" s="1"/>
  <c r="D93" i="2"/>
  <c r="K46" i="1"/>
  <c r="G46" i="1" s="1"/>
  <c r="I46" i="1"/>
  <c r="C90" i="1"/>
  <c r="D90" i="1"/>
  <c r="E89" i="1"/>
  <c r="F89" i="1" s="1"/>
  <c r="C94" i="2" l="1"/>
  <c r="W94" i="2" s="1"/>
  <c r="E93" i="2"/>
  <c r="F93" i="2" s="1"/>
  <c r="D94" i="2"/>
  <c r="K47" i="1"/>
  <c r="G47" i="1" s="1"/>
  <c r="I47" i="1"/>
  <c r="C91" i="1"/>
  <c r="E90" i="1"/>
  <c r="F90" i="1" s="1"/>
  <c r="D91" i="1"/>
  <c r="C95" i="2" l="1"/>
  <c r="E94" i="2"/>
  <c r="F94" i="2" s="1"/>
  <c r="D95" i="2"/>
  <c r="K48" i="1"/>
  <c r="G48" i="1" s="1"/>
  <c r="I48" i="1"/>
  <c r="C92" i="1"/>
  <c r="D92" i="1"/>
  <c r="E91" i="1"/>
  <c r="F91" i="1" s="1"/>
  <c r="D96" i="2" l="1"/>
  <c r="E95" i="2"/>
  <c r="F95" i="2" s="1"/>
  <c r="C96" i="2"/>
  <c r="K49" i="1"/>
  <c r="I49" i="1"/>
  <c r="U49" i="1" s="1"/>
  <c r="L49" i="1" s="1"/>
  <c r="C93" i="1"/>
  <c r="E92" i="1"/>
  <c r="F92" i="1" s="1"/>
  <c r="D93" i="1"/>
  <c r="D97" i="2" l="1"/>
  <c r="C97" i="2"/>
  <c r="E96" i="2"/>
  <c r="F96" i="2" s="1"/>
  <c r="K50" i="1"/>
  <c r="G50" i="1" s="1"/>
  <c r="I50" i="1"/>
  <c r="C94" i="1"/>
  <c r="D94" i="1"/>
  <c r="E93" i="1"/>
  <c r="F93" i="1" s="1"/>
  <c r="D98" i="2" l="1"/>
  <c r="C98" i="2"/>
  <c r="E97" i="2"/>
  <c r="F97" i="2" s="1"/>
  <c r="K51" i="1"/>
  <c r="G51" i="1" s="1"/>
  <c r="I51" i="1"/>
  <c r="G49" i="1"/>
  <c r="C95" i="1"/>
  <c r="E94" i="1"/>
  <c r="F94" i="1" s="1"/>
  <c r="D95" i="1"/>
  <c r="D99" i="2" l="1"/>
  <c r="C99" i="2"/>
  <c r="E98" i="2"/>
  <c r="F98" i="2" s="1"/>
  <c r="K52" i="1"/>
  <c r="G52" i="1" s="1"/>
  <c r="I52" i="1"/>
  <c r="C96" i="1"/>
  <c r="D96" i="1"/>
  <c r="E95" i="1"/>
  <c r="F95" i="1" s="1"/>
  <c r="D100" i="2" l="1"/>
  <c r="C100" i="2"/>
  <c r="E99" i="2"/>
  <c r="F99" i="2" s="1"/>
  <c r="K53" i="1"/>
  <c r="G53" i="1" s="1"/>
  <c r="I53" i="1"/>
  <c r="C97" i="1"/>
  <c r="E96" i="1"/>
  <c r="F96" i="1" s="1"/>
  <c r="D97" i="1"/>
  <c r="D101" i="2" l="1"/>
  <c r="C101" i="2"/>
  <c r="E100" i="2"/>
  <c r="F100" i="2" s="1"/>
  <c r="K54" i="1"/>
  <c r="G54" i="1" s="1"/>
  <c r="I54" i="1"/>
  <c r="D98" i="1"/>
  <c r="E97" i="1"/>
  <c r="F97" i="1" s="1"/>
  <c r="C98" i="1"/>
  <c r="U95" i="2" l="1"/>
  <c r="L95" i="2" s="1"/>
  <c r="D102" i="2"/>
  <c r="C102" i="2"/>
  <c r="E101" i="2"/>
  <c r="F101" i="2" s="1"/>
  <c r="K55" i="1"/>
  <c r="G55" i="1" s="1"/>
  <c r="I55" i="1"/>
  <c r="E98" i="1"/>
  <c r="F98" i="1" s="1"/>
  <c r="D99" i="1"/>
  <c r="C99" i="1"/>
  <c r="G95" i="2" l="1"/>
  <c r="W98" i="2" s="1"/>
  <c r="W97" i="2"/>
  <c r="W101" i="2"/>
  <c r="D103" i="2"/>
  <c r="C103" i="2"/>
  <c r="E102" i="2"/>
  <c r="F102" i="2" s="1"/>
  <c r="K56" i="1"/>
  <c r="G56" i="1" s="1"/>
  <c r="I56" i="1"/>
  <c r="D100" i="1"/>
  <c r="E99" i="1"/>
  <c r="F99" i="1" s="1"/>
  <c r="C100" i="1"/>
  <c r="W99" i="2" l="1"/>
  <c r="W95" i="2"/>
  <c r="W100" i="2"/>
  <c r="W96" i="2"/>
  <c r="W102" i="2"/>
  <c r="W103" i="2"/>
  <c r="D104" i="2"/>
  <c r="C104" i="2"/>
  <c r="W104" i="2" s="1"/>
  <c r="E103" i="2"/>
  <c r="F103" i="2" s="1"/>
  <c r="K57" i="1"/>
  <c r="G57" i="1" s="1"/>
  <c r="I57" i="1"/>
  <c r="E100" i="1"/>
  <c r="F100" i="1" s="1"/>
  <c r="D101" i="1"/>
  <c r="C101" i="1"/>
  <c r="C105" i="2" l="1"/>
  <c r="W105" i="2" s="1"/>
  <c r="D105" i="2"/>
  <c r="E104" i="2"/>
  <c r="F104" i="2" s="1"/>
  <c r="K58" i="1"/>
  <c r="G58" i="1" s="1"/>
  <c r="I58" i="1"/>
  <c r="D102" i="1"/>
  <c r="E101" i="1"/>
  <c r="F101" i="1" s="1"/>
  <c r="C102" i="1"/>
  <c r="C106" i="2" l="1"/>
  <c r="W106" i="2" s="1"/>
  <c r="E105" i="2"/>
  <c r="F105" i="2" s="1"/>
  <c r="D106" i="2"/>
  <c r="K59" i="1"/>
  <c r="G59" i="1" s="1"/>
  <c r="I59" i="1"/>
  <c r="E102" i="1"/>
  <c r="F102" i="1" s="1"/>
  <c r="D103" i="1"/>
  <c r="C103" i="1"/>
  <c r="C107" i="2" l="1"/>
  <c r="E106" i="2"/>
  <c r="F106" i="2" s="1"/>
  <c r="D107" i="2"/>
  <c r="K60" i="1"/>
  <c r="G60" i="1" s="1"/>
  <c r="I60" i="1"/>
  <c r="D104" i="1"/>
  <c r="E103" i="1"/>
  <c r="F103" i="1" s="1"/>
  <c r="C104" i="1"/>
  <c r="D108" i="2" l="1"/>
  <c r="E107" i="2"/>
  <c r="F107" i="2" s="1"/>
  <c r="C108" i="2"/>
  <c r="K61" i="1"/>
  <c r="I61" i="1"/>
  <c r="U61" i="1" s="1"/>
  <c r="E104" i="1"/>
  <c r="F104" i="1" s="1"/>
  <c r="D105" i="1"/>
  <c r="C105" i="1"/>
  <c r="D109" i="2" l="1"/>
  <c r="C109" i="2"/>
  <c r="E108" i="2"/>
  <c r="F108" i="2" s="1"/>
  <c r="L61" i="1"/>
  <c r="K62" i="1"/>
  <c r="G62" i="1" s="1"/>
  <c r="I62" i="1"/>
  <c r="D106" i="1"/>
  <c r="E105" i="1"/>
  <c r="F105" i="1" s="1"/>
  <c r="C106" i="1"/>
  <c r="D110" i="2" l="1"/>
  <c r="C110" i="2"/>
  <c r="E109" i="2"/>
  <c r="F109" i="2" s="1"/>
  <c r="K63" i="1"/>
  <c r="G63" i="1" s="1"/>
  <c r="I63" i="1"/>
  <c r="G61" i="1"/>
  <c r="E106" i="1"/>
  <c r="F106" i="1" s="1"/>
  <c r="D107" i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D109" i="1"/>
  <c r="E108" i="1"/>
  <c r="F108" i="1" s="1"/>
  <c r="C109" i="1"/>
  <c r="D113" i="2" l="1"/>
  <c r="C113" i="2"/>
  <c r="E112" i="2"/>
  <c r="F112" i="2" s="1"/>
  <c r="K66" i="1"/>
  <c r="G66" i="1" s="1"/>
  <c r="I66" i="1"/>
  <c r="E109" i="1"/>
  <c r="F109" i="1" s="1"/>
  <c r="D110" i="1"/>
  <c r="C110" i="1"/>
  <c r="U107" i="2" l="1"/>
  <c r="L107" i="2" s="1"/>
  <c r="D114" i="2"/>
  <c r="C114" i="2"/>
  <c r="E113" i="2"/>
  <c r="F113" i="2" s="1"/>
  <c r="K67" i="1"/>
  <c r="G67" i="1" s="1"/>
  <c r="I67" i="1"/>
  <c r="E110" i="1"/>
  <c r="F110" i="1" s="1"/>
  <c r="D111" i="1"/>
  <c r="C111" i="1"/>
  <c r="G107" i="2" l="1"/>
  <c r="W114" i="2" s="1"/>
  <c r="W112" i="2"/>
  <c r="D115" i="2"/>
  <c r="C115" i="2"/>
  <c r="E114" i="2"/>
  <c r="F114" i="2" s="1"/>
  <c r="K68" i="1"/>
  <c r="G68" i="1" s="1"/>
  <c r="I68" i="1"/>
  <c r="E111" i="1"/>
  <c r="F111" i="1" s="1"/>
  <c r="D112" i="1"/>
  <c r="C112" i="1"/>
  <c r="W115" i="2" l="1"/>
  <c r="W113" i="2"/>
  <c r="W108" i="2"/>
  <c r="W109" i="2"/>
  <c r="W111" i="2"/>
  <c r="W107" i="2"/>
  <c r="W110" i="2"/>
  <c r="D116" i="2"/>
  <c r="C116" i="2"/>
  <c r="W116" i="2" s="1"/>
  <c r="E115" i="2"/>
  <c r="F115" i="2" s="1"/>
  <c r="K69" i="1"/>
  <c r="G69" i="1" s="1"/>
  <c r="I69" i="1"/>
  <c r="E112" i="1"/>
  <c r="F112" i="1" s="1"/>
  <c r="D113" i="1"/>
  <c r="C113" i="1"/>
  <c r="D117" i="2" l="1"/>
  <c r="C117" i="2"/>
  <c r="E116" i="2"/>
  <c r="F116" i="2" s="1"/>
  <c r="K70" i="1"/>
  <c r="G70" i="1" s="1"/>
  <c r="I70" i="1"/>
  <c r="E113" i="1"/>
  <c r="F113" i="1" s="1"/>
  <c r="D114" i="1"/>
  <c r="C114" i="1"/>
  <c r="W117" i="2" l="1"/>
  <c r="D118" i="2"/>
  <c r="C118" i="2"/>
  <c r="W118" i="2" s="1"/>
  <c r="E117" i="2"/>
  <c r="F117" i="2" s="1"/>
  <c r="K71" i="1"/>
  <c r="G71" i="1" s="1"/>
  <c r="I71" i="1"/>
  <c r="E114" i="1"/>
  <c r="F114" i="1" s="1"/>
  <c r="D115" i="1"/>
  <c r="C115" i="1"/>
  <c r="D119" i="2" l="1"/>
  <c r="C119" i="2"/>
  <c r="E118" i="2"/>
  <c r="F118" i="2" s="1"/>
  <c r="K72" i="1"/>
  <c r="G72" i="1" s="1"/>
  <c r="I72" i="1"/>
  <c r="E115" i="1"/>
  <c r="F115" i="1" s="1"/>
  <c r="D116" i="1"/>
  <c r="C116" i="1"/>
  <c r="M278" i="1"/>
  <c r="C120" i="2" l="1"/>
  <c r="D120" i="2"/>
  <c r="E119" i="2"/>
  <c r="F119" i="2" s="1"/>
  <c r="K73" i="1"/>
  <c r="I73" i="1"/>
  <c r="U73" i="1" s="1"/>
  <c r="D117" i="1"/>
  <c r="E116" i="1"/>
  <c r="F116" i="1" s="1"/>
  <c r="C117" i="1"/>
  <c r="C121" i="2" l="1"/>
  <c r="D121" i="2"/>
  <c r="E120" i="2"/>
  <c r="F120" i="2" s="1"/>
  <c r="L73" i="1"/>
  <c r="G73" i="1" s="1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E119" i="1"/>
  <c r="F119" i="1" s="1"/>
  <c r="D120" i="1"/>
  <c r="C120" i="1"/>
  <c r="C124" i="2" l="1"/>
  <c r="E123" i="2"/>
  <c r="F123" i="2" s="1"/>
  <c r="D124" i="2"/>
  <c r="K77" i="1"/>
  <c r="G77" i="1" s="1"/>
  <c r="I77" i="1"/>
  <c r="D121" i="1"/>
  <c r="E120" i="1"/>
  <c r="F120" i="1" s="1"/>
  <c r="C121" i="1"/>
  <c r="C125" i="2" l="1"/>
  <c r="E124" i="2"/>
  <c r="F124" i="2" s="1"/>
  <c r="D125" i="2"/>
  <c r="K78" i="1"/>
  <c r="G78" i="1" s="1"/>
  <c r="I78" i="1"/>
  <c r="E121" i="1"/>
  <c r="F121" i="1" s="1"/>
  <c r="D122" i="1"/>
  <c r="C122" i="1"/>
  <c r="U119" i="2" l="1"/>
  <c r="L119" i="2" s="1"/>
  <c r="G119" i="2" s="1"/>
  <c r="C126" i="2"/>
  <c r="E125" i="2"/>
  <c r="F125" i="2" s="1"/>
  <c r="D126" i="2"/>
  <c r="K79" i="1"/>
  <c r="G79" i="1" s="1"/>
  <c r="I79" i="1"/>
  <c r="E122" i="1"/>
  <c r="F122" i="1" s="1"/>
  <c r="D123" i="1"/>
  <c r="C123" i="1"/>
  <c r="W122" i="2" l="1"/>
  <c r="W126" i="2"/>
  <c r="W121" i="2"/>
  <c r="W125" i="2"/>
  <c r="W119" i="2"/>
  <c r="W120" i="2"/>
  <c r="W123" i="2"/>
  <c r="W124" i="2"/>
  <c r="C127" i="2"/>
  <c r="W127" i="2" s="1"/>
  <c r="E126" i="2"/>
  <c r="F126" i="2" s="1"/>
  <c r="D127" i="2"/>
  <c r="K80" i="1"/>
  <c r="G80" i="1" s="1"/>
  <c r="I80" i="1"/>
  <c r="E123" i="1"/>
  <c r="F123" i="1" s="1"/>
  <c r="D124" i="1"/>
  <c r="C124" i="1"/>
  <c r="C128" i="2" l="1"/>
  <c r="W128" i="2" s="1"/>
  <c r="E127" i="2"/>
  <c r="F127" i="2" s="1"/>
  <c r="D128" i="2"/>
  <c r="K81" i="1"/>
  <c r="G81" i="1" s="1"/>
  <c r="I81" i="1"/>
  <c r="D125" i="1"/>
  <c r="E124" i="1"/>
  <c r="F124" i="1" s="1"/>
  <c r="C125" i="1"/>
  <c r="C129" i="2" l="1"/>
  <c r="E128" i="2"/>
  <c r="F128" i="2" s="1"/>
  <c r="D129" i="2"/>
  <c r="K82" i="1"/>
  <c r="G82" i="1" s="1"/>
  <c r="I82" i="1"/>
  <c r="E125" i="1"/>
  <c r="F125" i="1" s="1"/>
  <c r="D126" i="1"/>
  <c r="C126" i="1"/>
  <c r="W129" i="2" l="1"/>
  <c r="C130" i="2"/>
  <c r="W130" i="2" s="1"/>
  <c r="E129" i="2"/>
  <c r="F129" i="2" s="1"/>
  <c r="D130" i="2"/>
  <c r="K83" i="1"/>
  <c r="G83" i="1" s="1"/>
  <c r="I83" i="1"/>
  <c r="E126" i="1"/>
  <c r="F126" i="1" s="1"/>
  <c r="D127" i="1"/>
  <c r="C127" i="1"/>
  <c r="C131" i="2" l="1"/>
  <c r="E130" i="2"/>
  <c r="F130" i="2" s="1"/>
  <c r="D131" i="2"/>
  <c r="K84" i="1"/>
  <c r="G84" i="1" s="1"/>
  <c r="I84" i="1"/>
  <c r="E127" i="1"/>
  <c r="F127" i="1" s="1"/>
  <c r="D128" i="1"/>
  <c r="C128" i="1"/>
  <c r="D132" i="2" l="1"/>
  <c r="E131" i="2"/>
  <c r="F131" i="2" s="1"/>
  <c r="C132" i="2"/>
  <c r="K85" i="1"/>
  <c r="I85" i="1"/>
  <c r="U85" i="1" s="1"/>
  <c r="D129" i="1"/>
  <c r="E128" i="1"/>
  <c r="F128" i="1" s="1"/>
  <c r="C129" i="1"/>
  <c r="D133" i="2" l="1"/>
  <c r="C133" i="2"/>
  <c r="E132" i="2"/>
  <c r="F132" i="2" s="1"/>
  <c r="L85" i="1"/>
  <c r="K86" i="1"/>
  <c r="G86" i="1" s="1"/>
  <c r="I86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G85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E131" i="1"/>
  <c r="F131" i="1" s="1"/>
  <c r="D132" i="1"/>
  <c r="C132" i="1"/>
  <c r="D136" i="2" l="1"/>
  <c r="C136" i="2"/>
  <c r="E135" i="2"/>
  <c r="F135" i="2" s="1"/>
  <c r="K89" i="1"/>
  <c r="G89" i="1" s="1"/>
  <c r="I89" i="1"/>
  <c r="D133" i="1"/>
  <c r="E132" i="1"/>
  <c r="F132" i="1" s="1"/>
  <c r="C133" i="1"/>
  <c r="D137" i="2" l="1"/>
  <c r="C137" i="2"/>
  <c r="E136" i="2"/>
  <c r="F136" i="2" s="1"/>
  <c r="K90" i="1"/>
  <c r="G90" i="1" s="1"/>
  <c r="I90" i="1"/>
  <c r="E133" i="1"/>
  <c r="F133" i="1" s="1"/>
  <c r="D134" i="1"/>
  <c r="C134" i="1"/>
  <c r="U131" i="2" l="1"/>
  <c r="L131" i="2" s="1"/>
  <c r="G131" i="2" s="1"/>
  <c r="D138" i="2"/>
  <c r="C138" i="2"/>
  <c r="E137" i="2"/>
  <c r="F137" i="2" s="1"/>
  <c r="K91" i="1"/>
  <c r="G91" i="1" s="1"/>
  <c r="I91" i="1"/>
  <c r="E134" i="1"/>
  <c r="F134" i="1" s="1"/>
  <c r="D135" i="1"/>
  <c r="C135" i="1"/>
  <c r="W138" i="2" l="1"/>
  <c r="W137" i="2"/>
  <c r="W134" i="2"/>
  <c r="W135" i="2"/>
  <c r="W133" i="2"/>
  <c r="W131" i="2"/>
  <c r="W132" i="2"/>
  <c r="W136" i="2"/>
  <c r="D139" i="2"/>
  <c r="C139" i="2"/>
  <c r="W139" i="2" s="1"/>
  <c r="E138" i="2"/>
  <c r="F138" i="2" s="1"/>
  <c r="K92" i="1"/>
  <c r="G92" i="1" s="1"/>
  <c r="I92" i="1"/>
  <c r="E135" i="1"/>
  <c r="F135" i="1" s="1"/>
  <c r="D136" i="1"/>
  <c r="C136" i="1"/>
  <c r="D140" i="2" l="1"/>
  <c r="C140" i="2"/>
  <c r="W140" i="2" s="1"/>
  <c r="E139" i="2"/>
  <c r="F139" i="2" s="1"/>
  <c r="K93" i="1"/>
  <c r="G93" i="1" s="1"/>
  <c r="I93" i="1"/>
  <c r="D137" i="1"/>
  <c r="E136" i="1"/>
  <c r="F136" i="1" s="1"/>
  <c r="C137" i="1"/>
  <c r="D141" i="2" l="1"/>
  <c r="C141" i="2"/>
  <c r="W141" i="2" s="1"/>
  <c r="E140" i="2"/>
  <c r="F140" i="2" s="1"/>
  <c r="K94" i="1"/>
  <c r="G94" i="1" s="1"/>
  <c r="I94" i="1"/>
  <c r="E137" i="1"/>
  <c r="F137" i="1" s="1"/>
  <c r="D138" i="1"/>
  <c r="C138" i="1"/>
  <c r="D142" i="2" l="1"/>
  <c r="C142" i="2"/>
  <c r="W142" i="2" s="1"/>
  <c r="E141" i="2"/>
  <c r="F141" i="2" s="1"/>
  <c r="K95" i="1"/>
  <c r="G95" i="1" s="1"/>
  <c r="I95" i="1"/>
  <c r="E138" i="1"/>
  <c r="F138" i="1" s="1"/>
  <c r="D139" i="1"/>
  <c r="C139" i="1"/>
  <c r="D143" i="2" l="1"/>
  <c r="C143" i="2"/>
  <c r="E142" i="2"/>
  <c r="F142" i="2" s="1"/>
  <c r="K96" i="1"/>
  <c r="G96" i="1" s="1"/>
  <c r="I96" i="1"/>
  <c r="E139" i="1"/>
  <c r="F139" i="1" s="1"/>
  <c r="D140" i="1"/>
  <c r="C140" i="1"/>
  <c r="C144" i="2" l="1"/>
  <c r="D144" i="2"/>
  <c r="E143" i="2"/>
  <c r="F143" i="2" s="1"/>
  <c r="K97" i="1"/>
  <c r="D141" i="1"/>
  <c r="E140" i="1"/>
  <c r="F140" i="1" s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E143" i="1"/>
  <c r="F143" i="1" s="1"/>
  <c r="D144" i="1"/>
  <c r="C144" i="1"/>
  <c r="C148" i="2" l="1"/>
  <c r="E147" i="2"/>
  <c r="F147" i="2" s="1"/>
  <c r="D148" i="2"/>
  <c r="D145" i="1"/>
  <c r="E144" i="1"/>
  <c r="F144" i="1" s="1"/>
  <c r="C145" i="1"/>
  <c r="C149" i="2" l="1"/>
  <c r="E148" i="2"/>
  <c r="F148" i="2" s="1"/>
  <c r="D149" i="2"/>
  <c r="E145" i="1"/>
  <c r="F145" i="1" s="1"/>
  <c r="D146" i="1"/>
  <c r="C146" i="1"/>
  <c r="U143" i="2" l="1"/>
  <c r="L143" i="2" s="1"/>
  <c r="G143" i="2" s="1"/>
  <c r="C150" i="2"/>
  <c r="E149" i="2"/>
  <c r="F149" i="2" s="1"/>
  <c r="D150" i="2"/>
  <c r="E146" i="1"/>
  <c r="F146" i="1" s="1"/>
  <c r="D147" i="1"/>
  <c r="C147" i="1"/>
  <c r="W150" i="2" l="1"/>
  <c r="W145" i="2"/>
  <c r="W149" i="2"/>
  <c r="W146" i="2"/>
  <c r="W143" i="2"/>
  <c r="W144" i="2"/>
  <c r="W147" i="2"/>
  <c r="W148" i="2"/>
  <c r="C151" i="2"/>
  <c r="W151" i="2" s="1"/>
  <c r="E150" i="2"/>
  <c r="F150" i="2" s="1"/>
  <c r="D151" i="2"/>
  <c r="E147" i="1"/>
  <c r="F147" i="1" s="1"/>
  <c r="D148" i="1"/>
  <c r="C148" i="1"/>
  <c r="C152" i="2" l="1"/>
  <c r="W152" i="2" s="1"/>
  <c r="E151" i="2"/>
  <c r="F151" i="2" s="1"/>
  <c r="D152" i="2"/>
  <c r="D149" i="1"/>
  <c r="E148" i="1"/>
  <c r="F148" i="1" s="1"/>
  <c r="C149" i="1"/>
  <c r="C153" i="2" l="1"/>
  <c r="W153" i="2" s="1"/>
  <c r="E152" i="2"/>
  <c r="F152" i="2" s="1"/>
  <c r="D153" i="2"/>
  <c r="E149" i="1"/>
  <c r="F149" i="1" s="1"/>
  <c r="D150" i="1"/>
  <c r="C150" i="1"/>
  <c r="C154" i="2" l="1"/>
  <c r="W154" i="2" s="1"/>
  <c r="E153" i="2"/>
  <c r="F153" i="2" s="1"/>
  <c r="D154" i="2"/>
  <c r="E150" i="1"/>
  <c r="F150" i="1" s="1"/>
  <c r="D151" i="1"/>
  <c r="C151" i="1"/>
  <c r="C155" i="2" l="1"/>
  <c r="E154" i="2"/>
  <c r="F154" i="2" s="1"/>
  <c r="D155" i="2"/>
  <c r="E151" i="1"/>
  <c r="F151" i="1" s="1"/>
  <c r="D152" i="1"/>
  <c r="C152" i="1"/>
  <c r="D156" i="2" l="1"/>
  <c r="E155" i="2"/>
  <c r="F155" i="2" s="1"/>
  <c r="C156" i="2"/>
  <c r="D153" i="1"/>
  <c r="E152" i="1"/>
  <c r="F152" i="1" s="1"/>
  <c r="C153" i="1"/>
  <c r="D157" i="2" l="1"/>
  <c r="E156" i="2"/>
  <c r="F156" i="2" s="1"/>
  <c r="C157" i="2"/>
  <c r="E153" i="1"/>
  <c r="F153" i="1" s="1"/>
  <c r="D154" i="1"/>
  <c r="C154" i="1"/>
  <c r="D158" i="2" l="1"/>
  <c r="C158" i="2"/>
  <c r="E157" i="2"/>
  <c r="F157" i="2" s="1"/>
  <c r="E154" i="1"/>
  <c r="F154" i="1" s="1"/>
  <c r="D155" i="1"/>
  <c r="C155" i="1"/>
  <c r="D159" i="2" l="1"/>
  <c r="E158" i="2"/>
  <c r="F158" i="2" s="1"/>
  <c r="C159" i="2"/>
  <c r="E155" i="1"/>
  <c r="F155" i="1" s="1"/>
  <c r="D156" i="1"/>
  <c r="C156" i="1"/>
  <c r="D160" i="2" l="1"/>
  <c r="C160" i="2"/>
  <c r="E159" i="2"/>
  <c r="F159" i="2" s="1"/>
  <c r="D157" i="1"/>
  <c r="E156" i="1"/>
  <c r="F156" i="1" s="1"/>
  <c r="C157" i="1"/>
  <c r="D161" i="2" l="1"/>
  <c r="E160" i="2"/>
  <c r="F160" i="2" s="1"/>
  <c r="C161" i="2"/>
  <c r="E157" i="1"/>
  <c r="F157" i="1" s="1"/>
  <c r="D158" i="1"/>
  <c r="C158" i="1"/>
  <c r="U155" i="2" l="1"/>
  <c r="D162" i="2"/>
  <c r="C162" i="2"/>
  <c r="E161" i="2"/>
  <c r="F161" i="2" s="1"/>
  <c r="D159" i="1"/>
  <c r="E158" i="1"/>
  <c r="F158" i="1" s="1"/>
  <c r="C159" i="1"/>
  <c r="L155" i="2" l="1"/>
  <c r="G155" i="2" s="1"/>
  <c r="D163" i="2"/>
  <c r="E162" i="2"/>
  <c r="F162" i="2" s="1"/>
  <c r="C163" i="2"/>
  <c r="E159" i="1"/>
  <c r="F159" i="1" s="1"/>
  <c r="D160" i="1"/>
  <c r="C160" i="1"/>
  <c r="W163" i="2" l="1"/>
  <c r="W161" i="2"/>
  <c r="W157" i="2"/>
  <c r="W158" i="2"/>
  <c r="W162" i="2"/>
  <c r="W155" i="2"/>
  <c r="W156" i="2"/>
  <c r="W159" i="2"/>
  <c r="W160" i="2"/>
  <c r="D164" i="2"/>
  <c r="C164" i="2"/>
  <c r="W164" i="2" s="1"/>
  <c r="E163" i="2"/>
  <c r="F163" i="2" s="1"/>
  <c r="D161" i="1"/>
  <c r="E160" i="1"/>
  <c r="F160" i="1" s="1"/>
  <c r="C161" i="1"/>
  <c r="D165" i="2" l="1"/>
  <c r="E164" i="2"/>
  <c r="F164" i="2" s="1"/>
  <c r="C165" i="2"/>
  <c r="E161" i="1"/>
  <c r="F161" i="1" s="1"/>
  <c r="D162" i="1"/>
  <c r="C162" i="1"/>
  <c r="W165" i="2" l="1"/>
  <c r="E165" i="2"/>
  <c r="F165" i="2" s="1"/>
  <c r="C166" i="2"/>
  <c r="W166" i="2" s="1"/>
  <c r="D166" i="2"/>
  <c r="D163" i="1"/>
  <c r="E162" i="1"/>
  <c r="F162" i="1" s="1"/>
  <c r="C163" i="1"/>
  <c r="C167" i="2" l="1"/>
  <c r="E166" i="2"/>
  <c r="F166" i="2" s="1"/>
  <c r="D167" i="2"/>
  <c r="E163" i="1"/>
  <c r="F163" i="1" s="1"/>
  <c r="D164" i="1"/>
  <c r="C164" i="1"/>
  <c r="C168" i="2" l="1"/>
  <c r="E167" i="2"/>
  <c r="F167" i="2" s="1"/>
  <c r="D168" i="2"/>
  <c r="D165" i="1"/>
  <c r="E164" i="1"/>
  <c r="F164" i="1" s="1"/>
  <c r="C165" i="1"/>
  <c r="D169" i="2" l="1"/>
  <c r="E168" i="2"/>
  <c r="F168" i="2" s="1"/>
  <c r="C169" i="2"/>
  <c r="E165" i="1"/>
  <c r="F165" i="1" s="1"/>
  <c r="D166" i="1"/>
  <c r="C166" i="1"/>
  <c r="C170" i="2" l="1"/>
  <c r="D170" i="2"/>
  <c r="E169" i="2"/>
  <c r="F169" i="2" s="1"/>
  <c r="D167" i="1"/>
  <c r="E166" i="1"/>
  <c r="F166" i="1" s="1"/>
  <c r="C167" i="1"/>
  <c r="D171" i="2" l="1"/>
  <c r="E170" i="2"/>
  <c r="F170" i="2" s="1"/>
  <c r="C171" i="2"/>
  <c r="E167" i="1"/>
  <c r="F167" i="1" s="1"/>
  <c r="D168" i="1"/>
  <c r="C168" i="1"/>
  <c r="C172" i="2" l="1"/>
  <c r="D172" i="2"/>
  <c r="E171" i="2"/>
  <c r="F171" i="2" s="1"/>
  <c r="D169" i="1"/>
  <c r="E168" i="1"/>
  <c r="F168" i="1" s="1"/>
  <c r="C169" i="1"/>
  <c r="D173" i="2" l="1"/>
  <c r="E172" i="2"/>
  <c r="F172" i="2" s="1"/>
  <c r="C173" i="2"/>
  <c r="E169" i="1"/>
  <c r="F169" i="1" s="1"/>
  <c r="D170" i="1"/>
  <c r="C170" i="1"/>
  <c r="U167" i="2" l="1"/>
  <c r="C174" i="2"/>
  <c r="D174" i="2"/>
  <c r="E173" i="2"/>
  <c r="F173" i="2" s="1"/>
  <c r="D171" i="1"/>
  <c r="E170" i="1"/>
  <c r="F170" i="1" s="1"/>
  <c r="C171" i="1"/>
  <c r="L167" i="2" l="1"/>
  <c r="G167" i="2" s="1"/>
  <c r="D175" i="2"/>
  <c r="E174" i="2"/>
  <c r="F174" i="2" s="1"/>
  <c r="C175" i="2"/>
  <c r="E171" i="1"/>
  <c r="F171" i="1" s="1"/>
  <c r="D172" i="1"/>
  <c r="C172" i="1"/>
  <c r="W175" i="2" l="1"/>
  <c r="W173" i="2"/>
  <c r="W167" i="2"/>
  <c r="W170" i="2"/>
  <c r="W174" i="2"/>
  <c r="W169" i="2"/>
  <c r="W168" i="2"/>
  <c r="W171" i="2"/>
  <c r="W172" i="2"/>
  <c r="C176" i="2"/>
  <c r="W176" i="2" s="1"/>
  <c r="D176" i="2"/>
  <c r="E175" i="2"/>
  <c r="F175" i="2" s="1"/>
  <c r="D173" i="1"/>
  <c r="E172" i="1"/>
  <c r="F172" i="1" s="1"/>
  <c r="C173" i="1"/>
  <c r="D177" i="2" l="1"/>
  <c r="E176" i="2"/>
  <c r="F176" i="2" s="1"/>
  <c r="C177" i="2"/>
  <c r="W177" i="2" s="1"/>
  <c r="E173" i="1"/>
  <c r="F173" i="1" s="1"/>
  <c r="D174" i="1"/>
  <c r="C174" i="1"/>
  <c r="C178" i="2" l="1"/>
  <c r="W178" i="2" s="1"/>
  <c r="D178" i="2"/>
  <c r="E177" i="2"/>
  <c r="F177" i="2" s="1"/>
  <c r="D175" i="1"/>
  <c r="E174" i="1"/>
  <c r="F174" i="1" s="1"/>
  <c r="C175" i="1"/>
  <c r="D179" i="2" l="1"/>
  <c r="E178" i="2"/>
  <c r="F178" i="2" s="1"/>
  <c r="C179" i="2"/>
  <c r="E175" i="1"/>
  <c r="F175" i="1" s="1"/>
  <c r="D176" i="1"/>
  <c r="C176" i="1"/>
  <c r="D180" i="2" l="1"/>
  <c r="C180" i="2"/>
  <c r="E179" i="2"/>
  <c r="F179" i="2" s="1"/>
  <c r="D177" i="1"/>
  <c r="E176" i="1"/>
  <c r="F176" i="1" s="1"/>
  <c r="C177" i="1"/>
  <c r="C181" i="2" l="1"/>
  <c r="E180" i="2"/>
  <c r="F180" i="2" s="1"/>
  <c r="D181" i="2"/>
  <c r="E177" i="1"/>
  <c r="F177" i="1" s="1"/>
  <c r="D178" i="1"/>
  <c r="C178" i="1"/>
  <c r="D182" i="2" l="1"/>
  <c r="E181" i="2"/>
  <c r="F181" i="2" s="1"/>
  <c r="C182" i="2"/>
  <c r="D179" i="1"/>
  <c r="E178" i="1"/>
  <c r="F178" i="1" s="1"/>
  <c r="C179" i="1"/>
  <c r="C183" i="2" l="1"/>
  <c r="E182" i="2"/>
  <c r="F182" i="2" s="1"/>
  <c r="D183" i="2"/>
  <c r="E179" i="1"/>
  <c r="F179" i="1" s="1"/>
  <c r="D180" i="1"/>
  <c r="C180" i="1"/>
  <c r="D184" i="2" l="1"/>
  <c r="E183" i="2"/>
  <c r="F183" i="2" s="1"/>
  <c r="C184" i="2"/>
  <c r="D181" i="1"/>
  <c r="E180" i="1"/>
  <c r="F180" i="1" s="1"/>
  <c r="C181" i="1"/>
  <c r="C185" i="2" l="1"/>
  <c r="E184" i="2"/>
  <c r="F184" i="2" s="1"/>
  <c r="D185" i="2"/>
  <c r="E181" i="1"/>
  <c r="F181" i="1" s="1"/>
  <c r="D182" i="1"/>
  <c r="C182" i="1"/>
  <c r="D186" i="2" l="1"/>
  <c r="E185" i="2"/>
  <c r="F185" i="2" s="1"/>
  <c r="C186" i="2"/>
  <c r="U179" i="2"/>
  <c r="D183" i="1"/>
  <c r="E182" i="1"/>
  <c r="F182" i="1" s="1"/>
  <c r="C183" i="1"/>
  <c r="L179" i="2" l="1"/>
  <c r="G179" i="2" s="1"/>
  <c r="C187" i="2"/>
  <c r="E186" i="2"/>
  <c r="F186" i="2" s="1"/>
  <c r="D187" i="2"/>
  <c r="E183" i="1"/>
  <c r="F183" i="1" s="1"/>
  <c r="D184" i="1"/>
  <c r="C184" i="1"/>
  <c r="W187" i="2" l="1"/>
  <c r="W186" i="2"/>
  <c r="W182" i="2"/>
  <c r="W181" i="2"/>
  <c r="W185" i="2"/>
  <c r="W179" i="2"/>
  <c r="W180" i="2"/>
  <c r="W183" i="2"/>
  <c r="W184" i="2"/>
  <c r="D188" i="2"/>
  <c r="E187" i="2"/>
  <c r="F187" i="2" s="1"/>
  <c r="C188" i="2"/>
  <c r="W188" i="2" s="1"/>
  <c r="D185" i="1"/>
  <c r="E184" i="1"/>
  <c r="F184" i="1" s="1"/>
  <c r="C185" i="1"/>
  <c r="C189" i="2" l="1"/>
  <c r="W189" i="2" s="1"/>
  <c r="E188" i="2"/>
  <c r="F188" i="2" s="1"/>
  <c r="D189" i="2"/>
  <c r="E185" i="1"/>
  <c r="F185" i="1" s="1"/>
  <c r="D186" i="1"/>
  <c r="C186" i="1"/>
  <c r="D190" i="2" l="1"/>
  <c r="E189" i="2"/>
  <c r="F189" i="2" s="1"/>
  <c r="C190" i="2"/>
  <c r="W190" i="2" s="1"/>
  <c r="D187" i="1"/>
  <c r="E186" i="1"/>
  <c r="F186" i="1" s="1"/>
  <c r="C187" i="1"/>
  <c r="C191" i="2" l="1"/>
  <c r="E190" i="2"/>
  <c r="F190" i="2" s="1"/>
  <c r="D191" i="2"/>
  <c r="E187" i="1"/>
  <c r="F187" i="1" s="1"/>
  <c r="D188" i="1"/>
  <c r="C188" i="1"/>
  <c r="C192" i="2" l="1"/>
  <c r="E191" i="2"/>
  <c r="F191" i="2" s="1"/>
  <c r="D192" i="2"/>
  <c r="D189" i="1"/>
  <c r="E188" i="1"/>
  <c r="F188" i="1" s="1"/>
  <c r="C189" i="1"/>
  <c r="D193" i="2" l="1"/>
  <c r="E192" i="2"/>
  <c r="F192" i="2" s="1"/>
  <c r="C193" i="2"/>
  <c r="E189" i="1"/>
  <c r="F189" i="1" s="1"/>
  <c r="D190" i="1"/>
  <c r="C190" i="1"/>
  <c r="C194" i="2" l="1"/>
  <c r="D194" i="2"/>
  <c r="E193" i="2"/>
  <c r="F193" i="2" s="1"/>
  <c r="D191" i="1"/>
  <c r="E190" i="1"/>
  <c r="F190" i="1" s="1"/>
  <c r="C191" i="1"/>
  <c r="D195" i="2" l="1"/>
  <c r="E194" i="2"/>
  <c r="F194" i="2" s="1"/>
  <c r="C195" i="2"/>
  <c r="E191" i="1"/>
  <c r="F191" i="1" s="1"/>
  <c r="D192" i="1"/>
  <c r="C192" i="1"/>
  <c r="C196" i="2" l="1"/>
  <c r="D196" i="2"/>
  <c r="E195" i="2"/>
  <c r="F195" i="2" s="1"/>
  <c r="D193" i="1"/>
  <c r="E192" i="1"/>
  <c r="F192" i="1" s="1"/>
  <c r="C193" i="1"/>
  <c r="D197" i="2" l="1"/>
  <c r="E196" i="2"/>
  <c r="F196" i="2" s="1"/>
  <c r="C197" i="2"/>
  <c r="E193" i="1"/>
  <c r="F193" i="1" s="1"/>
  <c r="D194" i="1"/>
  <c r="C194" i="1"/>
  <c r="U191" i="2" l="1"/>
  <c r="C198" i="2"/>
  <c r="D198" i="2"/>
  <c r="E197" i="2"/>
  <c r="F197" i="2" s="1"/>
  <c r="D195" i="1"/>
  <c r="E194" i="1"/>
  <c r="F194" i="1" s="1"/>
  <c r="C195" i="1"/>
  <c r="L191" i="2" l="1"/>
  <c r="G191" i="2" s="1"/>
  <c r="D199" i="2"/>
  <c r="E198" i="2"/>
  <c r="F198" i="2" s="1"/>
  <c r="C199" i="2"/>
  <c r="E195" i="1"/>
  <c r="F195" i="1" s="1"/>
  <c r="D196" i="1"/>
  <c r="C196" i="1"/>
  <c r="W199" i="2" l="1"/>
  <c r="W194" i="2"/>
  <c r="W198" i="2"/>
  <c r="W193" i="2"/>
  <c r="W197" i="2"/>
  <c r="W191" i="2"/>
  <c r="W192" i="2"/>
  <c r="W195" i="2"/>
  <c r="W196" i="2"/>
  <c r="C200" i="2"/>
  <c r="W200" i="2" s="1"/>
  <c r="D200" i="2"/>
  <c r="E199" i="2"/>
  <c r="F199" i="2" s="1"/>
  <c r="D197" i="1"/>
  <c r="E196" i="1"/>
  <c r="F196" i="1" s="1"/>
  <c r="C197" i="1"/>
  <c r="D201" i="2" l="1"/>
  <c r="E200" i="2"/>
  <c r="F200" i="2" s="1"/>
  <c r="C201" i="2"/>
  <c r="E197" i="1"/>
  <c r="F197" i="1" s="1"/>
  <c r="D198" i="1"/>
  <c r="C198" i="1"/>
  <c r="W201" i="2" l="1"/>
  <c r="C202" i="2"/>
  <c r="W202" i="2" s="1"/>
  <c r="D202" i="2"/>
  <c r="E201" i="2"/>
  <c r="F201" i="2" s="1"/>
  <c r="D199" i="1"/>
  <c r="E198" i="1"/>
  <c r="F198" i="1" s="1"/>
  <c r="C199" i="1"/>
  <c r="D203" i="2" l="1"/>
  <c r="E202" i="2"/>
  <c r="F202" i="2" s="1"/>
  <c r="C203" i="2"/>
  <c r="E199" i="1"/>
  <c r="F199" i="1" s="1"/>
  <c r="D200" i="1"/>
  <c r="C200" i="1"/>
  <c r="D204" i="2" l="1"/>
  <c r="C204" i="2"/>
  <c r="E203" i="2"/>
  <c r="F203" i="2" s="1"/>
  <c r="D201" i="1"/>
  <c r="E200" i="1"/>
  <c r="F200" i="1" s="1"/>
  <c r="C201" i="1"/>
  <c r="C205" i="2" l="1"/>
  <c r="E204" i="2"/>
  <c r="F204" i="2" s="1"/>
  <c r="D205" i="2"/>
  <c r="E201" i="1"/>
  <c r="F201" i="1" s="1"/>
  <c r="D202" i="1"/>
  <c r="C202" i="1"/>
  <c r="D206" i="2" l="1"/>
  <c r="E205" i="2"/>
  <c r="F205" i="2" s="1"/>
  <c r="C206" i="2"/>
  <c r="D203" i="1"/>
  <c r="E202" i="1"/>
  <c r="F202" i="1" s="1"/>
  <c r="C203" i="1"/>
  <c r="C207" i="2" l="1"/>
  <c r="E206" i="2"/>
  <c r="F206" i="2" s="1"/>
  <c r="D207" i="2"/>
  <c r="E203" i="1"/>
  <c r="F203" i="1" s="1"/>
  <c r="D204" i="1"/>
  <c r="C204" i="1"/>
  <c r="D208" i="2" l="1"/>
  <c r="E207" i="2"/>
  <c r="F207" i="2" s="1"/>
  <c r="C208" i="2"/>
  <c r="D205" i="1"/>
  <c r="E204" i="1"/>
  <c r="F204" i="1" s="1"/>
  <c r="C205" i="1"/>
  <c r="C209" i="2" l="1"/>
  <c r="E208" i="2"/>
  <c r="F208" i="2" s="1"/>
  <c r="D209" i="2"/>
  <c r="E205" i="1"/>
  <c r="F205" i="1" s="1"/>
  <c r="D206" i="1"/>
  <c r="C206" i="1"/>
  <c r="D210" i="2" l="1"/>
  <c r="E209" i="2"/>
  <c r="F209" i="2" s="1"/>
  <c r="C210" i="2"/>
  <c r="U203" i="2"/>
  <c r="D207" i="1"/>
  <c r="E206" i="1"/>
  <c r="F206" i="1" s="1"/>
  <c r="C207" i="1"/>
  <c r="L203" i="2" l="1"/>
  <c r="G203" i="2" s="1"/>
  <c r="C211" i="2"/>
  <c r="E210" i="2"/>
  <c r="F210" i="2" s="1"/>
  <c r="D211" i="2"/>
  <c r="E207" i="1"/>
  <c r="F207" i="1" s="1"/>
  <c r="D208" i="1"/>
  <c r="C208" i="1"/>
  <c r="W211" i="2" l="1"/>
  <c r="W206" i="2"/>
  <c r="W209" i="2"/>
  <c r="W210" i="2"/>
  <c r="W205" i="2"/>
  <c r="W203" i="2"/>
  <c r="W204" i="2"/>
  <c r="W207" i="2"/>
  <c r="W208" i="2"/>
  <c r="D212" i="2"/>
  <c r="E211" i="2"/>
  <c r="F211" i="2" s="1"/>
  <c r="C212" i="2"/>
  <c r="W212" i="2" s="1"/>
  <c r="D209" i="1"/>
  <c r="E208" i="1"/>
  <c r="F208" i="1" s="1"/>
  <c r="C209" i="1"/>
  <c r="C213" i="2" l="1"/>
  <c r="W213" i="2" s="1"/>
  <c r="E212" i="2"/>
  <c r="F212" i="2" s="1"/>
  <c r="D213" i="2"/>
  <c r="E209" i="1"/>
  <c r="F209" i="1" s="1"/>
  <c r="D210" i="1"/>
  <c r="C210" i="1"/>
  <c r="D214" i="2" l="1"/>
  <c r="E213" i="2"/>
  <c r="F213" i="2" s="1"/>
  <c r="C214" i="2"/>
  <c r="W214" i="2" s="1"/>
  <c r="D211" i="1"/>
  <c r="E210" i="1"/>
  <c r="F210" i="1" s="1"/>
  <c r="C211" i="1"/>
  <c r="C215" i="2" l="1"/>
  <c r="E214" i="2"/>
  <c r="F214" i="2" s="1"/>
  <c r="D215" i="2"/>
  <c r="E211" i="1"/>
  <c r="F211" i="1" s="1"/>
  <c r="D212" i="1"/>
  <c r="C212" i="1"/>
  <c r="C216" i="2" l="1"/>
  <c r="E215" i="2"/>
  <c r="F215" i="2" s="1"/>
  <c r="D216" i="2"/>
  <c r="D213" i="1"/>
  <c r="E212" i="1"/>
  <c r="F212" i="1" s="1"/>
  <c r="C213" i="1"/>
  <c r="D217" i="2" l="1"/>
  <c r="E216" i="2"/>
  <c r="F216" i="2" s="1"/>
  <c r="C217" i="2"/>
  <c r="E213" i="1"/>
  <c r="F213" i="1" s="1"/>
  <c r="D214" i="1"/>
  <c r="C214" i="1"/>
  <c r="C218" i="2" l="1"/>
  <c r="D218" i="2"/>
  <c r="E217" i="2"/>
  <c r="F217" i="2" s="1"/>
  <c r="D215" i="1"/>
  <c r="E214" i="1"/>
  <c r="F214" i="1" s="1"/>
  <c r="C215" i="1"/>
  <c r="D219" i="2" l="1"/>
  <c r="E218" i="2"/>
  <c r="F218" i="2" s="1"/>
  <c r="C219" i="2"/>
  <c r="E215" i="1"/>
  <c r="F215" i="1" s="1"/>
  <c r="D216" i="1"/>
  <c r="C216" i="1"/>
  <c r="C220" i="2" l="1"/>
  <c r="D220" i="2"/>
  <c r="E219" i="2"/>
  <c r="F219" i="2" s="1"/>
  <c r="D217" i="1"/>
  <c r="E216" i="1"/>
  <c r="F216" i="1" s="1"/>
  <c r="C217" i="1"/>
  <c r="D221" i="2" l="1"/>
  <c r="E220" i="2"/>
  <c r="F220" i="2" s="1"/>
  <c r="C221" i="2"/>
  <c r="E217" i="1"/>
  <c r="F217" i="1" s="1"/>
  <c r="D218" i="1"/>
  <c r="C218" i="1"/>
  <c r="U215" i="2" l="1"/>
  <c r="C222" i="2"/>
  <c r="D222" i="2"/>
  <c r="E221" i="2"/>
  <c r="F221" i="2" s="1"/>
  <c r="D219" i="1"/>
  <c r="E218" i="1"/>
  <c r="F218" i="1" s="1"/>
  <c r="C219" i="1"/>
  <c r="L215" i="2" l="1"/>
  <c r="G215" i="2" s="1"/>
  <c r="D223" i="2"/>
  <c r="E222" i="2"/>
  <c r="F222" i="2" s="1"/>
  <c r="C223" i="2"/>
  <c r="E219" i="1"/>
  <c r="F219" i="1" s="1"/>
  <c r="D220" i="1"/>
  <c r="C220" i="1"/>
  <c r="W223" i="2" l="1"/>
  <c r="W217" i="2"/>
  <c r="W221" i="2"/>
  <c r="W218" i="2"/>
  <c r="W222" i="2"/>
  <c r="W215" i="2"/>
  <c r="W216" i="2"/>
  <c r="W219" i="2"/>
  <c r="W220" i="2"/>
  <c r="C224" i="2"/>
  <c r="W224" i="2" s="1"/>
  <c r="D224" i="2"/>
  <c r="E223" i="2"/>
  <c r="F223" i="2" s="1"/>
  <c r="D221" i="1"/>
  <c r="E220" i="1"/>
  <c r="F220" i="1" s="1"/>
  <c r="C221" i="1"/>
  <c r="D225" i="2" l="1"/>
  <c r="C225" i="2"/>
  <c r="E224" i="2"/>
  <c r="F224" i="2" s="1"/>
  <c r="E221" i="1"/>
  <c r="F221" i="1" s="1"/>
  <c r="D222" i="1"/>
  <c r="C222" i="1"/>
  <c r="W225" i="2" l="1"/>
  <c r="C226" i="2"/>
  <c r="W226" i="2" s="1"/>
  <c r="D226" i="2"/>
  <c r="E225" i="2"/>
  <c r="F225" i="2" s="1"/>
  <c r="D223" i="1"/>
  <c r="E222" i="1"/>
  <c r="F222" i="1" s="1"/>
  <c r="C223" i="1"/>
  <c r="D227" i="2" l="1"/>
  <c r="E226" i="2"/>
  <c r="F226" i="2" s="1"/>
  <c r="C227" i="2"/>
  <c r="E223" i="1"/>
  <c r="F223" i="1" s="1"/>
  <c r="D224" i="1"/>
  <c r="C224" i="1"/>
  <c r="D228" i="2" l="1"/>
  <c r="C228" i="2"/>
  <c r="E227" i="2"/>
  <c r="F227" i="2" s="1"/>
  <c r="D225" i="1"/>
  <c r="E224" i="1"/>
  <c r="F224" i="1" s="1"/>
  <c r="C225" i="1"/>
  <c r="C229" i="2" l="1"/>
  <c r="E228" i="2"/>
  <c r="F228" i="2" s="1"/>
  <c r="D229" i="2"/>
  <c r="E225" i="1"/>
  <c r="F225" i="1" s="1"/>
  <c r="D226" i="1"/>
  <c r="C226" i="1"/>
  <c r="D230" i="2" l="1"/>
  <c r="E229" i="2"/>
  <c r="F229" i="2" s="1"/>
  <c r="C230" i="2"/>
  <c r="D227" i="1"/>
  <c r="E226" i="1"/>
  <c r="F226" i="1" s="1"/>
  <c r="C227" i="1"/>
  <c r="C231" i="2" l="1"/>
  <c r="E230" i="2"/>
  <c r="F230" i="2" s="1"/>
  <c r="D231" i="2"/>
  <c r="E227" i="1"/>
  <c r="F227" i="1" s="1"/>
  <c r="D228" i="1"/>
  <c r="C228" i="1"/>
  <c r="D232" i="2" l="1"/>
  <c r="E231" i="2"/>
  <c r="F231" i="2" s="1"/>
  <c r="C232" i="2"/>
  <c r="D229" i="1"/>
  <c r="E228" i="1"/>
  <c r="F228" i="1" s="1"/>
  <c r="C229" i="1"/>
  <c r="C233" i="2" l="1"/>
  <c r="E232" i="2"/>
  <c r="F232" i="2" s="1"/>
  <c r="D233" i="2"/>
  <c r="E229" i="1"/>
  <c r="F229" i="1" s="1"/>
  <c r="D230" i="1"/>
  <c r="C230" i="1"/>
  <c r="D234" i="2" l="1"/>
  <c r="E233" i="2"/>
  <c r="F233" i="2" s="1"/>
  <c r="C234" i="2"/>
  <c r="U227" i="2"/>
  <c r="D231" i="1"/>
  <c r="E230" i="1"/>
  <c r="F230" i="1" s="1"/>
  <c r="C231" i="1"/>
  <c r="L227" i="2" l="1"/>
  <c r="G227" i="2" s="1"/>
  <c r="C235" i="2"/>
  <c r="E234" i="2"/>
  <c r="F234" i="2" s="1"/>
  <c r="D235" i="2"/>
  <c r="E231" i="1"/>
  <c r="F231" i="1" s="1"/>
  <c r="D232" i="1"/>
  <c r="C232" i="1"/>
  <c r="W235" i="2" l="1"/>
  <c r="W231" i="2"/>
  <c r="W229" i="2"/>
  <c r="W234" i="2"/>
  <c r="W233" i="2"/>
  <c r="W230" i="2"/>
  <c r="W227" i="2"/>
  <c r="W228" i="2"/>
  <c r="W232" i="2"/>
  <c r="D236" i="2"/>
  <c r="E235" i="2"/>
  <c r="F235" i="2" s="1"/>
  <c r="C236" i="2"/>
  <c r="W236" i="2" s="1"/>
  <c r="D233" i="1"/>
  <c r="E232" i="1"/>
  <c r="F232" i="1" s="1"/>
  <c r="C233" i="1"/>
  <c r="C237" i="2" l="1"/>
  <c r="E236" i="2"/>
  <c r="F236" i="2" s="1"/>
  <c r="D237" i="2"/>
  <c r="E233" i="1"/>
  <c r="F233" i="1" s="1"/>
  <c r="D234" i="1"/>
  <c r="C234" i="1"/>
  <c r="W237" i="2" l="1"/>
  <c r="D238" i="2"/>
  <c r="E237" i="2"/>
  <c r="F237" i="2" s="1"/>
  <c r="C238" i="2"/>
  <c r="W238" i="2" s="1"/>
  <c r="D235" i="1"/>
  <c r="E234" i="1"/>
  <c r="F234" i="1" s="1"/>
  <c r="C235" i="1"/>
  <c r="C239" i="2" l="1"/>
  <c r="E238" i="2"/>
  <c r="F238" i="2" s="1"/>
  <c r="D239" i="2"/>
  <c r="E235" i="1"/>
  <c r="F235" i="1" s="1"/>
  <c r="D236" i="1"/>
  <c r="C236" i="1"/>
  <c r="C240" i="2" l="1"/>
  <c r="E239" i="2"/>
  <c r="F239" i="2" s="1"/>
  <c r="D240" i="2"/>
  <c r="D237" i="1"/>
  <c r="E236" i="1"/>
  <c r="F236" i="1" s="1"/>
  <c r="C237" i="1"/>
  <c r="D241" i="2" l="1"/>
  <c r="E240" i="2"/>
  <c r="F240" i="2" s="1"/>
  <c r="C241" i="2"/>
  <c r="E237" i="1"/>
  <c r="F237" i="1" s="1"/>
  <c r="D238" i="1"/>
  <c r="C238" i="1"/>
  <c r="C242" i="2" l="1"/>
  <c r="D242" i="2"/>
  <c r="E241" i="2"/>
  <c r="F241" i="2" s="1"/>
  <c r="D239" i="1"/>
  <c r="E238" i="1"/>
  <c r="F238" i="1" s="1"/>
  <c r="C239" i="1"/>
  <c r="D243" i="2" l="1"/>
  <c r="E242" i="2"/>
  <c r="F242" i="2" s="1"/>
  <c r="C243" i="2"/>
  <c r="E239" i="1"/>
  <c r="F239" i="1" s="1"/>
  <c r="D240" i="1"/>
  <c r="C240" i="1"/>
  <c r="C244" i="2" l="1"/>
  <c r="D244" i="2"/>
  <c r="E243" i="2"/>
  <c r="F243" i="2" s="1"/>
  <c r="D241" i="1"/>
  <c r="E240" i="1"/>
  <c r="F240" i="1" s="1"/>
  <c r="C241" i="1"/>
  <c r="D245" i="2" l="1"/>
  <c r="E244" i="2"/>
  <c r="F244" i="2" s="1"/>
  <c r="C245" i="2"/>
  <c r="E241" i="1"/>
  <c r="F241" i="1" s="1"/>
  <c r="D242" i="1"/>
  <c r="C242" i="1"/>
  <c r="U239" i="2" l="1"/>
  <c r="C246" i="2"/>
  <c r="D246" i="2"/>
  <c r="E245" i="2"/>
  <c r="F245" i="2" s="1"/>
  <c r="D243" i="1"/>
  <c r="E242" i="1"/>
  <c r="F242" i="1" s="1"/>
  <c r="C243" i="1"/>
  <c r="L239" i="2" l="1"/>
  <c r="G239" i="2" s="1"/>
  <c r="D247" i="2"/>
  <c r="E246" i="2"/>
  <c r="F246" i="2" s="1"/>
  <c r="C247" i="2"/>
  <c r="E243" i="1"/>
  <c r="F243" i="1" s="1"/>
  <c r="D244" i="1"/>
  <c r="C244" i="1"/>
  <c r="W247" i="2" l="1"/>
  <c r="W242" i="2"/>
  <c r="W246" i="2"/>
  <c r="W241" i="2"/>
  <c r="W245" i="2"/>
  <c r="W239" i="2"/>
  <c r="W240" i="2"/>
  <c r="W243" i="2"/>
  <c r="W244" i="2"/>
  <c r="C248" i="2"/>
  <c r="W248" i="2" s="1"/>
  <c r="D248" i="2"/>
  <c r="E247" i="2"/>
  <c r="F247" i="2" s="1"/>
  <c r="D245" i="1"/>
  <c r="E244" i="1"/>
  <c r="F244" i="1" s="1"/>
  <c r="C245" i="1"/>
  <c r="D249" i="2" l="1"/>
  <c r="E248" i="2"/>
  <c r="F248" i="2" s="1"/>
  <c r="C249" i="2"/>
  <c r="W249" i="2" s="1"/>
  <c r="E245" i="1"/>
  <c r="F245" i="1" s="1"/>
  <c r="D246" i="1"/>
  <c r="C246" i="1"/>
  <c r="C250" i="2" l="1"/>
  <c r="W250" i="2" s="1"/>
  <c r="D250" i="2"/>
  <c r="E249" i="2"/>
  <c r="F249" i="2" s="1"/>
  <c r="D247" i="1"/>
  <c r="E246" i="1"/>
  <c r="F246" i="1" s="1"/>
  <c r="C247" i="1"/>
  <c r="D251" i="2" l="1"/>
  <c r="E250" i="2"/>
  <c r="F250" i="2" s="1"/>
  <c r="C251" i="2"/>
  <c r="E247" i="1"/>
  <c r="F247" i="1" s="1"/>
  <c r="D248" i="1"/>
  <c r="C248" i="1"/>
  <c r="D252" i="2" l="1"/>
  <c r="C252" i="2"/>
  <c r="E251" i="2"/>
  <c r="F251" i="2" s="1"/>
  <c r="D249" i="1"/>
  <c r="E248" i="1"/>
  <c r="F248" i="1" s="1"/>
  <c r="C249" i="1"/>
  <c r="C253" i="2" l="1"/>
  <c r="E252" i="2"/>
  <c r="F252" i="2" s="1"/>
  <c r="D253" i="2"/>
  <c r="E249" i="1"/>
  <c r="F249" i="1" s="1"/>
  <c r="D250" i="1"/>
  <c r="C250" i="1"/>
  <c r="D254" i="2" l="1"/>
  <c r="E253" i="2"/>
  <c r="F253" i="2" s="1"/>
  <c r="C254" i="2"/>
  <c r="D251" i="1"/>
  <c r="E250" i="1"/>
  <c r="F250" i="1" s="1"/>
  <c r="C251" i="1"/>
  <c r="C255" i="2" l="1"/>
  <c r="E254" i="2"/>
  <c r="F254" i="2" s="1"/>
  <c r="D255" i="2"/>
  <c r="E251" i="1"/>
  <c r="F251" i="1" s="1"/>
  <c r="D252" i="1"/>
  <c r="C252" i="1"/>
  <c r="C256" i="2" l="1"/>
  <c r="E255" i="2"/>
  <c r="F255" i="2" s="1"/>
  <c r="D256" i="2"/>
  <c r="D253" i="1"/>
  <c r="E252" i="1"/>
  <c r="F252" i="1" s="1"/>
  <c r="C253" i="1"/>
  <c r="D257" i="2" l="1"/>
  <c r="E256" i="2"/>
  <c r="F256" i="2" s="1"/>
  <c r="C257" i="2"/>
  <c r="E253" i="1"/>
  <c r="F253" i="1" s="1"/>
  <c r="D254" i="1"/>
  <c r="C254" i="1"/>
  <c r="C258" i="2" l="1"/>
  <c r="E257" i="2"/>
  <c r="F257" i="2" s="1"/>
  <c r="D258" i="2"/>
  <c r="U251" i="2"/>
  <c r="D255" i="1"/>
  <c r="E254" i="1"/>
  <c r="F254" i="1" s="1"/>
  <c r="C255" i="1"/>
  <c r="L251" i="2" l="1"/>
  <c r="G251" i="2" s="1"/>
  <c r="D259" i="2"/>
  <c r="E258" i="2"/>
  <c r="F258" i="2" s="1"/>
  <c r="C259" i="2"/>
  <c r="E255" i="1"/>
  <c r="F255" i="1" s="1"/>
  <c r="D256" i="1"/>
  <c r="C256" i="1"/>
  <c r="W259" i="2" l="1"/>
  <c r="W254" i="2"/>
  <c r="W258" i="2"/>
  <c r="W257" i="2"/>
  <c r="W253" i="2"/>
  <c r="W251" i="2"/>
  <c r="W252" i="2"/>
  <c r="W255" i="2"/>
  <c r="W256" i="2"/>
  <c r="C260" i="2"/>
  <c r="W260" i="2" s="1"/>
  <c r="E259" i="2"/>
  <c r="F259" i="2" s="1"/>
  <c r="D260" i="2"/>
  <c r="D257" i="1"/>
  <c r="E256" i="1"/>
  <c r="F256" i="1" s="1"/>
  <c r="C257" i="1"/>
  <c r="D261" i="2" l="1"/>
  <c r="E260" i="2"/>
  <c r="F260" i="2" s="1"/>
  <c r="C261" i="2"/>
  <c r="W261" i="2" s="1"/>
  <c r="E257" i="1"/>
  <c r="F257" i="1" s="1"/>
  <c r="D258" i="1"/>
  <c r="C258" i="1"/>
  <c r="C262" i="2" l="1"/>
  <c r="W262" i="2" s="1"/>
  <c r="E261" i="2"/>
  <c r="F261" i="2" s="1"/>
  <c r="D262" i="2"/>
  <c r="D259" i="1"/>
  <c r="E258" i="1"/>
  <c r="F258" i="1" s="1"/>
  <c r="C259" i="1"/>
  <c r="D263" i="2" l="1"/>
  <c r="E262" i="2"/>
  <c r="F262" i="2" s="1"/>
  <c r="C263" i="2"/>
  <c r="E259" i="1"/>
  <c r="F259" i="1" s="1"/>
  <c r="D260" i="1"/>
  <c r="C260" i="1"/>
  <c r="D264" i="2" l="1"/>
  <c r="C264" i="2"/>
  <c r="E263" i="2"/>
  <c r="F263" i="2" s="1"/>
  <c r="D261" i="1"/>
  <c r="E260" i="1"/>
  <c r="F260" i="1" s="1"/>
  <c r="C261" i="1"/>
  <c r="C265" i="2" l="1"/>
  <c r="D265" i="2"/>
  <c r="E264" i="2"/>
  <c r="F264" i="2" s="1"/>
  <c r="E261" i="1"/>
  <c r="F261" i="1" s="1"/>
  <c r="D262" i="1"/>
  <c r="C262" i="1"/>
  <c r="D266" i="2" l="1"/>
  <c r="E265" i="2"/>
  <c r="F265" i="2" s="1"/>
  <c r="C266" i="2"/>
  <c r="D263" i="1"/>
  <c r="E262" i="1"/>
  <c r="F262" i="1" s="1"/>
  <c r="C263" i="1"/>
  <c r="C267" i="2" l="1"/>
  <c r="D267" i="2"/>
  <c r="E266" i="2"/>
  <c r="F266" i="2" s="1"/>
  <c r="E263" i="1"/>
  <c r="F263" i="1" s="1"/>
  <c r="D264" i="1"/>
  <c r="C264" i="1"/>
  <c r="D268" i="2" l="1"/>
  <c r="E267" i="2"/>
  <c r="F267" i="2" s="1"/>
  <c r="C268" i="2"/>
  <c r="D265" i="1"/>
  <c r="E264" i="1"/>
  <c r="F264" i="1" s="1"/>
  <c r="C265" i="1"/>
  <c r="C269" i="2" l="1"/>
  <c r="D269" i="2"/>
  <c r="E268" i="2"/>
  <c r="F268" i="2" s="1"/>
  <c r="E265" i="1"/>
  <c r="F265" i="1" s="1"/>
  <c r="D266" i="1"/>
  <c r="C266" i="1"/>
  <c r="U263" i="2" l="1"/>
  <c r="D270" i="2"/>
  <c r="E269" i="2"/>
  <c r="F269" i="2" s="1"/>
  <c r="C270" i="2"/>
  <c r="D267" i="1"/>
  <c r="E266" i="1"/>
  <c r="F266" i="1" s="1"/>
  <c r="C267" i="1"/>
  <c r="L263" i="2" l="1"/>
  <c r="C271" i="2"/>
  <c r="D271" i="2"/>
  <c r="E270" i="2"/>
  <c r="F270" i="2" s="1"/>
  <c r="U276" i="2"/>
  <c r="E267" i="1"/>
  <c r="F267" i="1" s="1"/>
  <c r="D268" i="1"/>
  <c r="C268" i="1"/>
  <c r="G263" i="2" l="1"/>
  <c r="W266" i="2" s="1"/>
  <c r="L276" i="2"/>
  <c r="X276" i="2" s="1"/>
  <c r="O27" i="2" s="1"/>
  <c r="W270" i="2"/>
  <c r="W269" i="2"/>
  <c r="W264" i="2"/>
  <c r="W268" i="2"/>
  <c r="D272" i="2"/>
  <c r="E271" i="2"/>
  <c r="F271" i="2" s="1"/>
  <c r="C272" i="2"/>
  <c r="D269" i="1"/>
  <c r="E268" i="1"/>
  <c r="F268" i="1" s="1"/>
  <c r="C269" i="1"/>
  <c r="W272" i="2" l="1"/>
  <c r="W267" i="2"/>
  <c r="W263" i="2"/>
  <c r="W265" i="2"/>
  <c r="G276" i="2"/>
  <c r="W271" i="2"/>
  <c r="C273" i="2"/>
  <c r="D273" i="2"/>
  <c r="E272" i="2"/>
  <c r="F272" i="2" s="1"/>
  <c r="E269" i="1"/>
  <c r="F269" i="1" s="1"/>
  <c r="D270" i="1"/>
  <c r="C270" i="1"/>
  <c r="W273" i="2" l="1"/>
  <c r="D274" i="2"/>
  <c r="E273" i="2"/>
  <c r="F273" i="2" s="1"/>
  <c r="C274" i="2"/>
  <c r="W274" i="2" s="1"/>
  <c r="D271" i="1"/>
  <c r="E270" i="1"/>
  <c r="F270" i="1" s="1"/>
  <c r="C271" i="1"/>
  <c r="C275" i="2" l="1"/>
  <c r="W275" i="2" s="1"/>
  <c r="D275" i="2"/>
  <c r="E274" i="2"/>
  <c r="F274" i="2" s="1"/>
  <c r="E271" i="1"/>
  <c r="F271" i="1" s="1"/>
  <c r="D272" i="1"/>
  <c r="C272" i="1"/>
  <c r="E275" i="2" l="1"/>
  <c r="F275" i="2" s="1"/>
  <c r="W276" i="2"/>
  <c r="O25" i="2" s="1"/>
  <c r="D273" i="1"/>
  <c r="E272" i="1"/>
  <c r="F272" i="1" s="1"/>
  <c r="C273" i="1"/>
  <c r="E273" i="1" l="1"/>
  <c r="F273" i="1" s="1"/>
  <c r="D274" i="1"/>
  <c r="C274" i="1"/>
  <c r="D275" i="1" l="1"/>
  <c r="E274" i="1"/>
  <c r="F274" i="1" s="1"/>
  <c r="C275" i="1"/>
  <c r="E275" i="1" l="1"/>
  <c r="F275" i="1" s="1"/>
  <c r="D276" i="1"/>
  <c r="C276" i="1"/>
  <c r="D277" i="1" l="1"/>
  <c r="E276" i="1"/>
  <c r="F276" i="1" s="1"/>
  <c r="C277" i="1"/>
  <c r="E277" i="1" s="1"/>
  <c r="F277" i="1" s="1"/>
  <c r="Y276" i="2" l="1"/>
  <c r="O28" i="2" s="1"/>
  <c r="O278" i="1"/>
  <c r="G37" i="1" l="1"/>
  <c r="W41" i="1" l="1"/>
  <c r="W39" i="1"/>
  <c r="W40" i="1"/>
  <c r="W42" i="1"/>
  <c r="W43" i="1"/>
  <c r="W44" i="1"/>
  <c r="W45" i="1"/>
  <c r="W46" i="1"/>
  <c r="W47" i="1"/>
  <c r="W48" i="1"/>
  <c r="W51" i="1"/>
  <c r="W50" i="1"/>
  <c r="W49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7" i="1"/>
  <c r="W86" i="1"/>
  <c r="W85" i="1"/>
  <c r="W88" i="1"/>
  <c r="W89" i="1"/>
  <c r="W90" i="1"/>
  <c r="W91" i="1"/>
  <c r="W92" i="1"/>
  <c r="W93" i="1"/>
  <c r="W94" i="1"/>
  <c r="W95" i="1"/>
  <c r="W96" i="1"/>
  <c r="I97" i="1"/>
  <c r="U97" i="1" s="1"/>
  <c r="L97" i="1" l="1"/>
  <c r="K98" i="1"/>
  <c r="I98" i="1"/>
  <c r="K99" i="1" l="1"/>
  <c r="G99" i="1" s="1"/>
  <c r="I99" i="1"/>
  <c r="G98" i="1"/>
  <c r="G97" i="1"/>
  <c r="W98" i="1" l="1"/>
  <c r="W97" i="1"/>
  <c r="W99" i="1"/>
  <c r="K100" i="1"/>
  <c r="I100" i="1"/>
  <c r="K101" i="1" l="1"/>
  <c r="G101" i="1" s="1"/>
  <c r="I101" i="1"/>
  <c r="G100" i="1"/>
  <c r="W100" i="1" l="1"/>
  <c r="W101" i="1"/>
  <c r="K102" i="1"/>
  <c r="I102" i="1"/>
  <c r="K103" i="1" l="1"/>
  <c r="G102" i="1"/>
  <c r="I103" i="1"/>
  <c r="G103" i="1"/>
  <c r="W102" i="1" l="1"/>
  <c r="W103" i="1"/>
  <c r="K104" i="1"/>
  <c r="I104" i="1"/>
  <c r="K105" i="1" l="1"/>
  <c r="G105" i="1" s="1"/>
  <c r="G104" i="1"/>
  <c r="I105" i="1"/>
  <c r="W105" i="1" l="1"/>
  <c r="W104" i="1"/>
  <c r="K106" i="1"/>
  <c r="G106" i="1" s="1"/>
  <c r="W106" i="1" s="1"/>
  <c r="I106" i="1"/>
  <c r="K107" i="1" l="1"/>
  <c r="G107" i="1" s="1"/>
  <c r="W107" i="1" s="1"/>
  <c r="I107" i="1"/>
  <c r="K108" i="1" l="1"/>
  <c r="G108" i="1" s="1"/>
  <c r="W108" i="1" s="1"/>
  <c r="I108" i="1"/>
  <c r="K109" i="1" l="1"/>
  <c r="I109" i="1"/>
  <c r="U109" i="1" s="1"/>
  <c r="I110" i="1" l="1"/>
  <c r="I111" i="1" s="1"/>
  <c r="L109" i="1"/>
  <c r="K110" i="1"/>
  <c r="K112" i="1" l="1"/>
  <c r="G112" i="1" s="1"/>
  <c r="K111" i="1"/>
  <c r="G111" i="1" s="1"/>
  <c r="I112" i="1"/>
  <c r="G110" i="1"/>
  <c r="K113" i="1" l="1"/>
  <c r="I113" i="1"/>
  <c r="G109" i="1"/>
  <c r="W112" i="1" l="1"/>
  <c r="W109" i="1"/>
  <c r="W111" i="1"/>
  <c r="W110" i="1"/>
  <c r="K114" i="1"/>
  <c r="G114" i="1" s="1"/>
  <c r="I114" i="1"/>
  <c r="G113" i="1"/>
  <c r="W114" i="1" l="1"/>
  <c r="W113" i="1"/>
  <c r="K115" i="1"/>
  <c r="I115" i="1"/>
  <c r="K116" i="1" l="1"/>
  <c r="G116" i="1" s="1"/>
  <c r="G115" i="1"/>
  <c r="I116" i="1"/>
  <c r="W116" i="1" l="1"/>
  <c r="W115" i="1"/>
  <c r="K117" i="1"/>
  <c r="G117" i="1" s="1"/>
  <c r="I117" i="1"/>
  <c r="W117" i="1" l="1"/>
  <c r="K118" i="1"/>
  <c r="I118" i="1"/>
  <c r="K119" i="1" l="1"/>
  <c r="G119" i="1" s="1"/>
  <c r="G118" i="1"/>
  <c r="I119" i="1"/>
  <c r="W119" i="1" l="1"/>
  <c r="W118" i="1"/>
  <c r="K120" i="1"/>
  <c r="G120" i="1" s="1"/>
  <c r="W120" i="1" s="1"/>
  <c r="I120" i="1"/>
  <c r="K121" i="1" l="1"/>
  <c r="I121" i="1"/>
  <c r="U121" i="1" s="1"/>
  <c r="L121" i="1" l="1"/>
  <c r="K122" i="1"/>
  <c r="G122" i="1" s="1"/>
  <c r="I122" i="1"/>
  <c r="K123" i="1" l="1"/>
  <c r="G123" i="1" s="1"/>
  <c r="I123" i="1"/>
  <c r="K124" i="1" l="1"/>
  <c r="G124" i="1" s="1"/>
  <c r="I124" i="1"/>
  <c r="G121" i="1"/>
  <c r="W121" i="1" l="1"/>
  <c r="W122" i="1"/>
  <c r="W124" i="1"/>
  <c r="W123" i="1"/>
  <c r="K125" i="1"/>
  <c r="G125" i="1" s="1"/>
  <c r="I125" i="1"/>
  <c r="W125" i="1" l="1"/>
  <c r="K126" i="1"/>
  <c r="G126" i="1" s="1"/>
  <c r="I126" i="1"/>
  <c r="W126" i="1" l="1"/>
  <c r="K127" i="1"/>
  <c r="G127" i="1" s="1"/>
  <c r="I127" i="1"/>
  <c r="W127" i="1" l="1"/>
  <c r="K128" i="1"/>
  <c r="G128" i="1" s="1"/>
  <c r="I128" i="1"/>
  <c r="W128" i="1" l="1"/>
  <c r="K129" i="1"/>
  <c r="G129" i="1" s="1"/>
  <c r="W129" i="1" s="1"/>
  <c r="I129" i="1"/>
  <c r="K130" i="1" l="1"/>
  <c r="G130" i="1" s="1"/>
  <c r="W130" i="1" s="1"/>
  <c r="I130" i="1"/>
  <c r="K131" i="1" l="1"/>
  <c r="G131" i="1" s="1"/>
  <c r="W131" i="1" s="1"/>
  <c r="I131" i="1"/>
  <c r="K132" i="1" l="1"/>
  <c r="G132" i="1" s="1"/>
  <c r="W132" i="1" s="1"/>
  <c r="I132" i="1"/>
  <c r="K133" i="1" l="1"/>
  <c r="I133" i="1"/>
  <c r="U133" i="1" s="1"/>
  <c r="L133" i="1" l="1"/>
  <c r="K134" i="1"/>
  <c r="G134" i="1" s="1"/>
  <c r="I134" i="1"/>
  <c r="K135" i="1" l="1"/>
  <c r="G135" i="1" s="1"/>
  <c r="I135" i="1"/>
  <c r="K136" i="1" l="1"/>
  <c r="G136" i="1" s="1"/>
  <c r="I136" i="1"/>
  <c r="G133" i="1"/>
  <c r="W135" i="1" l="1"/>
  <c r="W134" i="1"/>
  <c r="W133" i="1"/>
  <c r="W136" i="1"/>
  <c r="K137" i="1"/>
  <c r="G137" i="1" s="1"/>
  <c r="I137" i="1"/>
  <c r="W137" i="1" l="1"/>
  <c r="K138" i="1"/>
  <c r="G138" i="1" s="1"/>
  <c r="I138" i="1"/>
  <c r="W138" i="1" l="1"/>
  <c r="K139" i="1"/>
  <c r="G139" i="1" s="1"/>
  <c r="I139" i="1"/>
  <c r="W139" i="1" l="1"/>
  <c r="K140" i="1"/>
  <c r="G140" i="1" s="1"/>
  <c r="I140" i="1"/>
  <c r="W140" i="1" l="1"/>
  <c r="K141" i="1"/>
  <c r="G141" i="1" s="1"/>
  <c r="I141" i="1"/>
  <c r="W141" i="1" l="1"/>
  <c r="K142" i="1"/>
  <c r="G142" i="1" s="1"/>
  <c r="W142" i="1" s="1"/>
  <c r="I142" i="1"/>
  <c r="K143" i="1" l="1"/>
  <c r="G143" i="1" s="1"/>
  <c r="W143" i="1" s="1"/>
  <c r="I143" i="1"/>
  <c r="K144" i="1" l="1"/>
  <c r="G144" i="1" s="1"/>
  <c r="W144" i="1" s="1"/>
  <c r="I144" i="1"/>
  <c r="K145" i="1" l="1"/>
  <c r="I145" i="1"/>
  <c r="U145" i="1" s="1"/>
  <c r="L145" i="1" l="1"/>
  <c r="K146" i="1"/>
  <c r="G146" i="1" s="1"/>
  <c r="I146" i="1"/>
  <c r="K147" i="1" l="1"/>
  <c r="G147" i="1" s="1"/>
  <c r="I147" i="1"/>
  <c r="K148" i="1" l="1"/>
  <c r="G148" i="1" s="1"/>
  <c r="I148" i="1"/>
  <c r="G145" i="1"/>
  <c r="W148" i="1" l="1"/>
  <c r="W146" i="1"/>
  <c r="W145" i="1"/>
  <c r="W147" i="1"/>
  <c r="K149" i="1"/>
  <c r="G149" i="1" s="1"/>
  <c r="I149" i="1"/>
  <c r="W149" i="1" l="1"/>
  <c r="K150" i="1"/>
  <c r="I150" i="1"/>
  <c r="G150" i="1"/>
  <c r="W150" i="1" s="1"/>
  <c r="K151" i="1" l="1"/>
  <c r="G151" i="1" s="1"/>
  <c r="J278" i="1"/>
  <c r="I151" i="1"/>
  <c r="W151" i="1" l="1"/>
  <c r="K152" i="1"/>
  <c r="G152" i="1" s="1"/>
  <c r="W152" i="1" s="1"/>
  <c r="I152" i="1"/>
  <c r="K153" i="1" l="1"/>
  <c r="G153" i="1" s="1"/>
  <c r="W153" i="1" s="1"/>
  <c r="I153" i="1"/>
  <c r="K154" i="1" l="1"/>
  <c r="G154" i="1" s="1"/>
  <c r="I154" i="1"/>
  <c r="W154" i="1" l="1"/>
  <c r="K155" i="1"/>
  <c r="G155" i="1" s="1"/>
  <c r="W155" i="1" s="1"/>
  <c r="I155" i="1"/>
  <c r="K156" i="1" l="1"/>
  <c r="G156" i="1" s="1"/>
  <c r="W156" i="1" s="1"/>
  <c r="I156" i="1"/>
  <c r="K157" i="1" l="1"/>
  <c r="I157" i="1"/>
  <c r="U157" i="1" s="1"/>
  <c r="L157" i="1" l="1"/>
  <c r="K158" i="1"/>
  <c r="G158" i="1" s="1"/>
  <c r="I158" i="1"/>
  <c r="K159" i="1" l="1"/>
  <c r="G159" i="1" s="1"/>
  <c r="I159" i="1"/>
  <c r="K160" i="1" l="1"/>
  <c r="G160" i="1" s="1"/>
  <c r="I160" i="1"/>
  <c r="G157" i="1"/>
  <c r="W160" i="1" l="1"/>
  <c r="W157" i="1"/>
  <c r="W159" i="1"/>
  <c r="W158" i="1"/>
  <c r="K161" i="1"/>
  <c r="I161" i="1"/>
  <c r="K162" i="1" l="1"/>
  <c r="G162" i="1" s="1"/>
  <c r="I162" i="1"/>
  <c r="G161" i="1"/>
  <c r="W162" i="1" l="1"/>
  <c r="W161" i="1"/>
  <c r="K163" i="1"/>
  <c r="I163" i="1"/>
  <c r="K164" i="1" l="1"/>
  <c r="G164" i="1" s="1"/>
  <c r="I164" i="1"/>
  <c r="G163" i="1"/>
  <c r="W164" i="1" l="1"/>
  <c r="W163" i="1"/>
  <c r="K165" i="1"/>
  <c r="I165" i="1"/>
  <c r="K166" i="1" l="1"/>
  <c r="G166" i="1" s="1"/>
  <c r="I166" i="1"/>
  <c r="G165" i="1"/>
  <c r="W166" i="1" l="1"/>
  <c r="W165" i="1"/>
  <c r="K167" i="1"/>
  <c r="G167" i="1" s="1"/>
  <c r="I167" i="1"/>
  <c r="W167" i="1" l="1"/>
  <c r="K168" i="1"/>
  <c r="G168" i="1" s="1"/>
  <c r="W168" i="1" s="1"/>
  <c r="I168" i="1"/>
  <c r="K169" i="1" l="1"/>
  <c r="I169" i="1"/>
  <c r="U169" i="1" s="1"/>
  <c r="K170" i="1" l="1"/>
  <c r="G170" i="1" s="1"/>
  <c r="I170" i="1"/>
  <c r="K171" i="1" l="1"/>
  <c r="G171" i="1" s="1"/>
  <c r="I171" i="1"/>
  <c r="L169" i="1"/>
  <c r="I172" i="1" l="1"/>
  <c r="K172" i="1"/>
  <c r="G172" i="1" s="1"/>
  <c r="G169" i="1"/>
  <c r="W169" i="1" l="1"/>
  <c r="W170" i="1"/>
  <c r="W172" i="1"/>
  <c r="W171" i="1"/>
  <c r="K173" i="1"/>
  <c r="G173" i="1" s="1"/>
  <c r="I173" i="1"/>
  <c r="W173" i="1" l="1"/>
  <c r="K174" i="1"/>
  <c r="G174" i="1" s="1"/>
  <c r="I174" i="1"/>
  <c r="W174" i="1" l="1"/>
  <c r="K175" i="1"/>
  <c r="G175" i="1" s="1"/>
  <c r="I175" i="1"/>
  <c r="W175" i="1" l="1"/>
  <c r="K176" i="1"/>
  <c r="G176" i="1" s="1"/>
  <c r="W176" i="1" s="1"/>
  <c r="I176" i="1"/>
  <c r="K177" i="1" l="1"/>
  <c r="G177" i="1" s="1"/>
  <c r="I177" i="1"/>
  <c r="W177" i="1" l="1"/>
  <c r="K178" i="1"/>
  <c r="G178" i="1" s="1"/>
  <c r="I178" i="1"/>
  <c r="W178" i="1" l="1"/>
  <c r="K179" i="1"/>
  <c r="G179" i="1" s="1"/>
  <c r="W179" i="1" s="1"/>
  <c r="I179" i="1"/>
  <c r="K180" i="1" l="1"/>
  <c r="G180" i="1" s="1"/>
  <c r="W180" i="1" s="1"/>
  <c r="I180" i="1"/>
  <c r="K181" i="1" l="1"/>
  <c r="I181" i="1"/>
  <c r="U181" i="1" s="1"/>
  <c r="I182" i="1" l="1"/>
  <c r="K182" i="1"/>
  <c r="G182" i="1" s="1"/>
  <c r="L181" i="1" l="1"/>
  <c r="K183" i="1"/>
  <c r="G183" i="1" s="1"/>
  <c r="I183" i="1"/>
  <c r="K184" i="1" l="1"/>
  <c r="G184" i="1" s="1"/>
  <c r="I184" i="1"/>
  <c r="G181" i="1"/>
  <c r="W182" i="1" l="1"/>
  <c r="W181" i="1"/>
  <c r="W183" i="1"/>
  <c r="W184" i="1"/>
  <c r="K185" i="1"/>
  <c r="G185" i="1" s="1"/>
  <c r="I185" i="1"/>
  <c r="W185" i="1" l="1"/>
  <c r="K186" i="1"/>
  <c r="G186" i="1" s="1"/>
  <c r="I186" i="1"/>
  <c r="W186" i="1" l="1"/>
  <c r="K187" i="1"/>
  <c r="G187" i="1" s="1"/>
  <c r="W187" i="1" s="1"/>
  <c r="I187" i="1"/>
  <c r="K188" i="1" l="1"/>
  <c r="G188" i="1" s="1"/>
  <c r="I188" i="1"/>
  <c r="W188" i="1" l="1"/>
  <c r="K189" i="1"/>
  <c r="G189" i="1" s="1"/>
  <c r="W189" i="1" s="1"/>
  <c r="I189" i="1"/>
  <c r="K190" i="1" l="1"/>
  <c r="G190" i="1" s="1"/>
  <c r="W190" i="1" s="1"/>
  <c r="I190" i="1"/>
  <c r="K191" i="1" l="1"/>
  <c r="G191" i="1" s="1"/>
  <c r="W191" i="1" s="1"/>
  <c r="I191" i="1"/>
  <c r="I192" i="1" l="1"/>
  <c r="K192" i="1"/>
  <c r="G192" i="1" s="1"/>
  <c r="W192" i="1" s="1"/>
  <c r="K193" i="1" l="1"/>
  <c r="I193" i="1"/>
  <c r="U193" i="1" s="1"/>
  <c r="K194" i="1" l="1"/>
  <c r="G194" i="1" s="1"/>
  <c r="I194" i="1"/>
  <c r="L193" i="1" l="1"/>
  <c r="K195" i="1"/>
  <c r="G195" i="1" s="1"/>
  <c r="I195" i="1"/>
  <c r="K196" i="1" l="1"/>
  <c r="G196" i="1" s="1"/>
  <c r="I196" i="1"/>
  <c r="G193" i="1"/>
  <c r="W193" i="1" l="1"/>
  <c r="W195" i="1"/>
  <c r="W194" i="1"/>
  <c r="W196" i="1"/>
  <c r="K197" i="1"/>
  <c r="G197" i="1" s="1"/>
  <c r="I197" i="1"/>
  <c r="W197" i="1" l="1"/>
  <c r="K198" i="1"/>
  <c r="G198" i="1" s="1"/>
  <c r="I198" i="1"/>
  <c r="W198" i="1" l="1"/>
  <c r="K199" i="1"/>
  <c r="G199" i="1" s="1"/>
  <c r="I199" i="1"/>
  <c r="W199" i="1" l="1"/>
  <c r="K200" i="1"/>
  <c r="G200" i="1" s="1"/>
  <c r="I200" i="1"/>
  <c r="W200" i="1" l="1"/>
  <c r="K201" i="1"/>
  <c r="G201" i="1" s="1"/>
  <c r="I201" i="1"/>
  <c r="W201" i="1" l="1"/>
  <c r="K202" i="1"/>
  <c r="G202" i="1" s="1"/>
  <c r="W202" i="1" s="1"/>
  <c r="I202" i="1"/>
  <c r="K203" i="1" l="1"/>
  <c r="G203" i="1" s="1"/>
  <c r="W203" i="1" s="1"/>
  <c r="I203" i="1"/>
  <c r="K204" i="1" l="1"/>
  <c r="G204" i="1" s="1"/>
  <c r="W204" i="1" s="1"/>
  <c r="I204" i="1"/>
  <c r="K205" i="1" l="1"/>
  <c r="I205" i="1"/>
  <c r="U205" i="1" s="1"/>
  <c r="K206" i="1" l="1"/>
  <c r="G206" i="1" s="1"/>
  <c r="I206" i="1"/>
  <c r="K207" i="1" l="1"/>
  <c r="G207" i="1" s="1"/>
  <c r="I207" i="1"/>
  <c r="L205" i="1"/>
  <c r="K208" i="1" l="1"/>
  <c r="G208" i="1" s="1"/>
  <c r="I208" i="1"/>
  <c r="G205" i="1"/>
  <c r="W205" i="1" l="1"/>
  <c r="W208" i="1"/>
  <c r="W207" i="1"/>
  <c r="W206" i="1"/>
  <c r="K209" i="1"/>
  <c r="G209" i="1" s="1"/>
  <c r="I209" i="1"/>
  <c r="W209" i="1" l="1"/>
  <c r="K210" i="1"/>
  <c r="G210" i="1" s="1"/>
  <c r="I210" i="1"/>
  <c r="W210" i="1" l="1"/>
  <c r="K211" i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G216" i="1" s="1"/>
  <c r="W216" i="1" s="1"/>
  <c r="I216" i="1"/>
  <c r="K217" i="1" l="1"/>
  <c r="I217" i="1"/>
  <c r="U217" i="1" s="1"/>
  <c r="K218" i="1" l="1"/>
  <c r="G218" i="1" s="1"/>
  <c r="I218" i="1"/>
  <c r="K219" i="1" l="1"/>
  <c r="G219" i="1" s="1"/>
  <c r="I219" i="1"/>
  <c r="L217" i="1"/>
  <c r="K220" i="1" l="1"/>
  <c r="G220" i="1" s="1"/>
  <c r="I220" i="1"/>
  <c r="G217" i="1"/>
  <c r="W218" i="1" l="1"/>
  <c r="W220" i="1"/>
  <c r="W217" i="1"/>
  <c r="W219" i="1"/>
  <c r="K221" i="1"/>
  <c r="G221" i="1" s="1"/>
  <c r="I221" i="1"/>
  <c r="W221" i="1" l="1"/>
  <c r="K222" i="1"/>
  <c r="G222" i="1" s="1"/>
  <c r="I222" i="1"/>
  <c r="W222" i="1" l="1"/>
  <c r="K223" i="1"/>
  <c r="G223" i="1" s="1"/>
  <c r="I223" i="1"/>
  <c r="W223" i="1" l="1"/>
  <c r="K224" i="1"/>
  <c r="G224" i="1" s="1"/>
  <c r="I224" i="1"/>
  <c r="W224" i="1" l="1"/>
  <c r="K225" i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G228" i="1" s="1"/>
  <c r="W228" i="1" s="1"/>
  <c r="I228" i="1"/>
  <c r="K229" i="1" l="1"/>
  <c r="I229" i="1"/>
  <c r="U229" i="1" s="1"/>
  <c r="L229" i="1" l="1"/>
  <c r="K230" i="1"/>
  <c r="G230" i="1" s="1"/>
  <c r="I230" i="1"/>
  <c r="G229" i="1" l="1"/>
  <c r="K231" i="1"/>
  <c r="G231" i="1" s="1"/>
  <c r="I231" i="1"/>
  <c r="W231" i="1" l="1"/>
  <c r="W230" i="1"/>
  <c r="W229" i="1"/>
  <c r="K232" i="1"/>
  <c r="G232" i="1" s="1"/>
  <c r="I232" i="1"/>
  <c r="W232" i="1" l="1"/>
  <c r="K233" i="1"/>
  <c r="G233" i="1" s="1"/>
  <c r="I233" i="1"/>
  <c r="W233" i="1" l="1"/>
  <c r="K234" i="1"/>
  <c r="G234" i="1" s="1"/>
  <c r="I234" i="1"/>
  <c r="W234" i="1" l="1"/>
  <c r="K235" i="1"/>
  <c r="G235" i="1" s="1"/>
  <c r="W235" i="1" s="1"/>
  <c r="I235" i="1"/>
  <c r="K236" i="1" l="1"/>
  <c r="G236" i="1" s="1"/>
  <c r="I236" i="1"/>
  <c r="W236" i="1" l="1"/>
  <c r="K237" i="1"/>
  <c r="G237" i="1" s="1"/>
  <c r="I237" i="1"/>
  <c r="W237" i="1" l="1"/>
  <c r="K238" i="1"/>
  <c r="G238" i="1" s="1"/>
  <c r="W238" i="1" s="1"/>
  <c r="I238" i="1"/>
  <c r="K239" i="1" l="1"/>
  <c r="G239" i="1" s="1"/>
  <c r="W239" i="1" s="1"/>
  <c r="I239" i="1"/>
  <c r="K240" i="1" l="1"/>
  <c r="G240" i="1" s="1"/>
  <c r="W240" i="1" s="1"/>
  <c r="I240" i="1"/>
  <c r="K241" i="1" l="1"/>
  <c r="I241" i="1"/>
  <c r="U241" i="1" s="1"/>
  <c r="L241" i="1" l="1"/>
  <c r="G241" i="1" s="1"/>
  <c r="K242" i="1"/>
  <c r="G242" i="1" s="1"/>
  <c r="I242" i="1"/>
  <c r="W241" i="1" l="1"/>
  <c r="W242" i="1"/>
  <c r="K243" i="1"/>
  <c r="G243" i="1" s="1"/>
  <c r="W243" i="1" s="1"/>
  <c r="I243" i="1"/>
  <c r="K244" i="1" l="1"/>
  <c r="G244" i="1" s="1"/>
  <c r="I244" i="1"/>
  <c r="W244" i="1" l="1"/>
  <c r="K245" i="1"/>
  <c r="G245" i="1" s="1"/>
  <c r="I245" i="1"/>
  <c r="W245" i="1" l="1"/>
  <c r="K246" i="1"/>
  <c r="G246" i="1" s="1"/>
  <c r="I246" i="1"/>
  <c r="W246" i="1" l="1"/>
  <c r="K247" i="1"/>
  <c r="G247" i="1" s="1"/>
  <c r="I247" i="1"/>
  <c r="W247" i="1" l="1"/>
  <c r="K248" i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G252" i="1" s="1"/>
  <c r="W252" i="1" s="1"/>
  <c r="I252" i="1"/>
  <c r="K253" i="1" l="1"/>
  <c r="I253" i="1"/>
  <c r="U253" i="1" s="1"/>
  <c r="L253" i="1" l="1"/>
  <c r="K254" i="1"/>
  <c r="G254" i="1" s="1"/>
  <c r="I254" i="1"/>
  <c r="G253" i="1" l="1"/>
  <c r="K255" i="1"/>
  <c r="G255" i="1" s="1"/>
  <c r="I255" i="1"/>
  <c r="W255" i="1" l="1"/>
  <c r="W253" i="1"/>
  <c r="W254" i="1"/>
  <c r="K256" i="1"/>
  <c r="G256" i="1" s="1"/>
  <c r="I256" i="1"/>
  <c r="W256" i="1" l="1"/>
  <c r="K257" i="1"/>
  <c r="G257" i="1" s="1"/>
  <c r="I257" i="1"/>
  <c r="W257" i="1" l="1"/>
  <c r="K258" i="1"/>
  <c r="G258" i="1" s="1"/>
  <c r="I258" i="1"/>
  <c r="W258" i="1" l="1"/>
  <c r="K259" i="1"/>
  <c r="G259" i="1" s="1"/>
  <c r="W259" i="1" s="1"/>
  <c r="I259" i="1"/>
  <c r="K260" i="1" l="1"/>
  <c r="G260" i="1" s="1"/>
  <c r="I260" i="1"/>
  <c r="W260" i="1" l="1"/>
  <c r="K261" i="1"/>
  <c r="G261" i="1" s="1"/>
  <c r="W261" i="1" s="1"/>
  <c r="I261" i="1"/>
  <c r="K262" i="1" l="1"/>
  <c r="G262" i="1" s="1"/>
  <c r="I262" i="1"/>
  <c r="W262" i="1" l="1"/>
  <c r="K263" i="1"/>
  <c r="G263" i="1" s="1"/>
  <c r="W263" i="1" s="1"/>
  <c r="I263" i="1"/>
  <c r="K264" i="1" l="1"/>
  <c r="G264" i="1" s="1"/>
  <c r="W264" i="1" s="1"/>
  <c r="I264" i="1"/>
  <c r="K265" i="1" l="1"/>
  <c r="I265" i="1"/>
  <c r="U265" i="1" s="1"/>
  <c r="K266" i="1" l="1"/>
  <c r="G266" i="1" s="1"/>
  <c r="I266" i="1"/>
  <c r="K267" i="1" l="1"/>
  <c r="G267" i="1" s="1"/>
  <c r="I267" i="1"/>
  <c r="L265" i="1"/>
  <c r="U278" i="1"/>
  <c r="K268" i="1" l="1"/>
  <c r="G268" i="1" s="1"/>
  <c r="I268" i="1"/>
  <c r="L278" i="1"/>
  <c r="G265" i="1"/>
  <c r="W267" i="1" l="1"/>
  <c r="W268" i="1"/>
  <c r="W266" i="1"/>
  <c r="W265" i="1"/>
  <c r="K269" i="1"/>
  <c r="G269" i="1" s="1"/>
  <c r="I269" i="1"/>
  <c r="W269" i="1" l="1"/>
  <c r="K270" i="1"/>
  <c r="G270" i="1" s="1"/>
  <c r="I270" i="1"/>
  <c r="W270" i="1" l="1"/>
  <c r="K271" i="1"/>
  <c r="G271" i="1" s="1"/>
  <c r="I271" i="1"/>
  <c r="W271" i="1" l="1"/>
  <c r="K272" i="1"/>
  <c r="G272" i="1" s="1"/>
  <c r="I272" i="1"/>
  <c r="W272" i="1" l="1"/>
  <c r="K273" i="1"/>
  <c r="G273" i="1" s="1"/>
  <c r="I273" i="1"/>
  <c r="W273" i="1" l="1"/>
  <c r="K274" i="1"/>
  <c r="G274" i="1" s="1"/>
  <c r="I274" i="1"/>
  <c r="W274" i="1" l="1"/>
  <c r="K275" i="1"/>
  <c r="G275" i="1" s="1"/>
  <c r="W275" i="1" s="1"/>
  <c r="I275" i="1"/>
  <c r="K276" i="1" l="1"/>
  <c r="G276" i="1" s="1"/>
  <c r="W276" i="1" s="1"/>
  <c r="I276" i="1"/>
  <c r="K277" i="1" l="1"/>
  <c r="I277" i="1"/>
  <c r="G277" i="1" l="1"/>
  <c r="W277" i="1" s="1"/>
  <c r="O27" i="1" s="1"/>
  <c r="K278" i="1"/>
  <c r="X278" i="1" s="1"/>
  <c r="O29" i="1" s="1"/>
  <c r="Y278" i="1" l="1"/>
  <c r="O30" i="1" s="1"/>
  <c r="G278" i="1"/>
</calcChain>
</file>

<file path=xl/sharedStrings.xml><?xml version="1.0" encoding="utf-8"?>
<sst xmlns="http://schemas.openxmlformats.org/spreadsheetml/2006/main" count="158" uniqueCount="72">
  <si>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</si>
  <si>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</si>
  <si>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</si>
  <si>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</si>
  <si>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</si>
  <si>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</si>
  <si>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</si>
  <si>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</si>
  <si>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</si>
  <si>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</si>
  <si>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</si>
  <si>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</si>
  <si>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</si>
  <si>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</si>
  <si>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</si>
  <si>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</si>
  <si>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</si>
  <si>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</si>
  <si>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</si>
  <si>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</si>
  <si>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</si>
  <si>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</si>
  <si>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</si>
  <si>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</si>
  <si>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</si>
  <si>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</si>
  <si>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</si>
  <si>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</si>
  <si>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</si>
  <si>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</si>
  <si>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</si>
  <si>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</si>
  <si>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</si>
  <si>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</si>
  <si>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</si>
  <si>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</si>
  <si>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</si>
  <si>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</si>
  <si>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</si>
  <si>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</si>
  <si>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</si>
  <si>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</si>
  <si>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</si>
  <si>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</si>
  <si>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</si>
  <si>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</si>
  <si>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</si>
  <si>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</si>
  <si>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</si>
  <si>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</si>
  <si>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</si>
  <si>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</si>
  <si>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</si>
  <si>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</si>
  <si>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</si>
  <si>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</si>
  <si>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</si>
  <si>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</si>
  <si>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</si>
  <si>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</si>
  <si>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</si>
  <si>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квартира)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</si>
  <si>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</si>
  <si>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</si>
  <si>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максимальна, в залежності від строку кредитування</t>
  </si>
  <si>
    <t>1,5% від суми кредиту, максимально</t>
  </si>
  <si>
    <t>0,1% від вартості майна + 6 000 гривень</t>
  </si>
  <si>
    <t>Збір на обовязкове пенсійне страхування</t>
  </si>
  <si>
    <t>1% від вартості нерухомості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</si>
  <si>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(купівля нерухомості)</t>
  </si>
  <si>
    <t>0,1% від вартості майна +6000 гривень</t>
  </si>
  <si>
    <t>% від вартості нерухомості, щорічно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</si>
</sst>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4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3" xfId="0" applyNumberFormat="1" applyFont="1" applyBorder="1" applyAlignment="1" applyProtection="1">
      <alignment horizontal="right"/>
      <protection hidden="1"/>
    </xf>
    <xf numFmtId="10" fontId="37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62" xfId="0" applyNumberFormat="1" applyFont="1" applyFill="1" applyBorder="1" applyAlignment="1" applyProtection="1">
      <alignment vertical="center" wrapText="1"/>
      <protection hidden="1"/>
    </xf>
    <xf numFmtId="0" fontId="18" fillId="0" borderId="69" xfId="0" applyNumberFormat="1" applyFont="1" applyFill="1" applyBorder="1" applyAlignment="1" applyProtection="1">
      <alignment vertical="center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0" fontId="32" fillId="0" borderId="42" xfId="0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4" fontId="3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vertical="center" wrapText="1"/>
      <protection hidden="1"/>
    </xf>
    <xf numFmtId="0" fontId="32" fillId="0" borderId="65" xfId="0" applyNumberFormat="1" applyFont="1" applyFill="1" applyBorder="1" applyAlignment="1" applyProtection="1">
      <alignment vertical="center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64" fontId="38" fillId="0" borderId="45" xfId="50" applyNumberFormat="1" applyFont="1" applyFill="1" applyBorder="1" applyAlignment="1" applyProtection="1">
      <alignment horizontal="center" vertical="top" wrapText="1"/>
      <protection hidden="1"/>
    </xf>
    <xf numFmtId="164" fontId="38" fillId="0" borderId="46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29" xfId="0" applyNumberFormat="1" applyFont="1" applyFill="1" applyBorder="1" applyAlignment="1" applyProtection="1">
      <alignment vertical="center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10" fontId="34" fillId="0" borderId="66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0" xfId="0" applyNumberFormat="1" applyFont="1" applyFill="1" applyBorder="1" applyAlignment="1" applyProtection="1">
      <alignment vertical="center" wrapText="1"/>
      <protection hidden="1"/>
    </xf>
    <xf numFmtId="0" fontId="32" fillId="0" borderId="44" xfId="0" applyNumberFormat="1" applyFont="1" applyFill="1" applyBorder="1" applyAlignment="1" applyProtection="1">
      <alignment vertical="center" wrapText="1"/>
      <protection hidden="1"/>
    </xf>
    <xf numFmtId="0" fontId="32" fillId="0" borderId="35" xfId="0" applyNumberFormat="1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65" xfId="0" applyFont="1" applyBorder="1" applyAlignment="1" applyProtection="1">
      <alignment horizontal="left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31" xfId="0" applyNumberFormat="1" applyFont="1" applyFill="1" applyBorder="1" applyAlignment="1" applyProtection="1">
      <alignment vertical="center" wrapText="1"/>
      <protection hidden="1"/>
    </xf>
    <xf numFmtId="0" fontId="32" fillId="0" borderId="58" xfId="0" applyNumberFormat="1" applyFont="1" applyFill="1" applyBorder="1" applyAlignment="1" applyProtection="1">
      <alignment vertical="center" wrapText="1"/>
      <protection hidden="1"/>
    </xf>
    <xf numFmtId="4" fontId="38" fillId="0" borderId="31" xfId="0" applyNumberFormat="1" applyFont="1" applyFill="1" applyBorder="1" applyAlignment="1" applyProtection="1">
      <alignment horizontal="center" vertical="top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top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vertical="center" wrapText="1"/>
      <protection hidden="1"/>
    </xf>
    <xf numFmtId="0" fontId="32" fillId="0" borderId="62" xfId="0" applyNumberFormat="1" applyFont="1" applyFill="1" applyBorder="1" applyAlignment="1" applyProtection="1">
      <alignment vertical="center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52" xfId="0" applyNumberFormat="1" applyFont="1" applyFill="1" applyBorder="1" applyAlignment="1" applyProtection="1">
      <alignment horizontal="left" vertical="top" wrapText="1"/>
      <protection hidden="1"/>
    </xf>
    <xf numFmtId="0" fontId="32" fillId="0" borderId="53" xfId="0" applyNumberFormat="1" applyFont="1" applyFill="1" applyBorder="1" applyAlignment="1" applyProtection="1">
      <alignment horizontal="left" vertical="top" wrapText="1"/>
      <protection hidden="1"/>
    </xf>
    <xf numFmtId="0" fontId="32" fillId="0" borderId="57" xfId="0" applyNumberFormat="1" applyFont="1" applyFill="1" applyBorder="1" applyAlignment="1" applyProtection="1">
      <alignment horizontal="left" vertical="top" wrapText="1"/>
      <protection hidden="1"/>
    </xf>
    <xf numFmtId="4" fontId="38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4" xfId="0" applyNumberFormat="1" applyFont="1" applyFill="1" applyBorder="1" applyAlignment="1" applyProtection="1">
      <alignment horizontal="left" vertical="center" wrapText="1"/>
      <protection hidden="1"/>
    </xf>
    <xf numFmtId="10" fontId="0" fillId="0" borderId="50" xfId="0" applyNumberFormat="1" applyFont="1" applyBorder="1" applyAlignment="1" applyProtection="1">
      <alignment horizontal="left"/>
      <protection hidden="1"/>
    </xf>
    <xf numFmtId="10" fontId="0" fillId="0" borderId="68" xfId="0" applyNumberFormat="1" applyFont="1" applyBorder="1" applyAlignment="1" applyProtection="1">
      <alignment horizontal="left"/>
      <protection hidden="1"/>
    </xf>
    <xf numFmtId="10" fontId="0" fillId="0" borderId="51" xfId="0" applyNumberFormat="1" applyFont="1" applyBorder="1" applyAlignment="1" applyProtection="1">
      <alignment horizontal="left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4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164" fontId="19" fillId="0" borderId="45" xfId="50" applyNumberFormat="1" applyFont="1" applyFill="1" applyBorder="1" applyAlignment="1" applyProtection="1">
      <alignment horizontal="center" vertical="top" wrapText="1"/>
      <protection hidden="1"/>
    </xf>
    <xf numFmtId="164" fontId="19" fillId="0" borderId="46" xfId="50" applyNumberFormat="1" applyFont="1" applyFill="1" applyBorder="1" applyAlignment="1" applyProtection="1">
      <alignment horizontal="center" vertical="top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0" fontId="18" fillId="0" borderId="46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4" fontId="19" fillId="34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61" xfId="0" applyNumberFormat="1" applyFont="1" applyFill="1" applyBorder="1" applyAlignment="1" applyProtection="1">
      <alignment horizontal="left" vertical="top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470648</xdr:colOff>
      <xdr:row>3</xdr:row>
      <xdr:rowOff>67235</xdr:rowOff>
    </xdr:from>
    <xdr:to>
      <xdr:col>18</xdr:col>
      <xdr:colOff>649942</xdr:colOff>
      <xdr:row>8</xdr:row>
      <xdr:rowOff>212910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AFFDB2A-0318-4AE2-A821-4CDDB9B994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4030" y="571500"/>
          <a:ext cx="2364441" cy="728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347382</xdr:colOff>
      <xdr:row>4</xdr:row>
      <xdr:rowOff>0</xdr:rowOff>
    </xdr:from>
    <xdr:to>
      <xdr:col>20</xdr:col>
      <xdr:colOff>638735</xdr:colOff>
      <xdr:row>7</xdr:row>
      <xdr:rowOff>33616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0BBAF55-88D9-4B67-BB1C-1014B83E31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4323" y="661147"/>
          <a:ext cx="2364441" cy="728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80"/>
  <sheetViews>
    <sheetView tabSelected="1" view="pageBreakPreview" topLeftCell="A9" zoomScale="85" zoomScaleNormal="85" zoomScaleSheetLayoutView="85" workbookViewId="0">
      <selection activeCell="J16" sqref="J16:K16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21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85" t="s">
        <v>69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24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24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24" ht="21" customHeight="1" x14ac:dyDescent="0.2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102" t="s">
        <v>0</v>
      </c>
      <c r="D7" s="102"/>
      <c r="E7" s="102"/>
      <c r="F7" s="103">
        <v>45292</v>
      </c>
      <c r="G7" s="103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102" t="s">
        <v>27</v>
      </c>
      <c r="D8" s="102"/>
      <c r="E8" s="102"/>
      <c r="F8" s="103">
        <v>52597</v>
      </c>
      <c r="G8" s="103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86" t="s">
        <v>40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94"/>
      <c r="U10" s="94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15" x14ac:dyDescent="0.25">
      <c r="G13" s="149" t="s">
        <v>1</v>
      </c>
      <c r="H13" s="150"/>
      <c r="I13" s="150"/>
      <c r="J13" s="147">
        <v>10000000</v>
      </c>
      <c r="K13" s="147"/>
      <c r="L13" s="145" t="s">
        <v>10</v>
      </c>
      <c r="M13" s="146"/>
      <c r="N13" s="122" t="s">
        <v>53</v>
      </c>
      <c r="O13" s="122"/>
      <c r="P13" s="122"/>
      <c r="Q13" s="122"/>
      <c r="R13" s="122"/>
      <c r="S13" s="122"/>
      <c r="T13" s="122"/>
      <c r="U13" s="123"/>
      <c r="V13" s="78"/>
    </row>
    <row r="14" spans="2:24" s="2" customFormat="1" ht="15" x14ac:dyDescent="0.25">
      <c r="G14" s="106" t="s">
        <v>2</v>
      </c>
      <c r="H14" s="107"/>
      <c r="I14" s="107"/>
      <c r="J14" s="156">
        <v>240</v>
      </c>
      <c r="K14" s="156"/>
      <c r="L14" s="133" t="s">
        <v>3</v>
      </c>
      <c r="M14" s="134"/>
      <c r="N14" s="124" t="s">
        <v>34</v>
      </c>
      <c r="O14" s="124"/>
      <c r="P14" s="124"/>
      <c r="Q14" s="124"/>
      <c r="R14" s="124"/>
      <c r="S14" s="124"/>
      <c r="T14" s="124"/>
      <c r="U14" s="125"/>
      <c r="V14" s="78"/>
    </row>
    <row r="15" spans="2:24" s="2" customFormat="1" ht="15" x14ac:dyDescent="0.25">
      <c r="G15" s="106" t="s">
        <v>54</v>
      </c>
      <c r="H15" s="107"/>
      <c r="I15" s="107"/>
      <c r="J15" s="128">
        <v>142000000</v>
      </c>
      <c r="K15" s="128"/>
      <c r="L15" s="133" t="s">
        <v>10</v>
      </c>
      <c r="M15" s="134"/>
      <c r="N15" s="124"/>
      <c r="O15" s="124"/>
      <c r="P15" s="124"/>
      <c r="Q15" s="124"/>
      <c r="R15" s="124"/>
      <c r="S15" s="124"/>
      <c r="T15" s="124"/>
      <c r="U15" s="125"/>
      <c r="V15" s="78"/>
    </row>
    <row r="16" spans="2:24" s="2" customFormat="1" ht="15" x14ac:dyDescent="0.25">
      <c r="G16" s="106" t="s">
        <v>31</v>
      </c>
      <c r="H16" s="107"/>
      <c r="I16" s="107"/>
      <c r="J16" s="148">
        <f>J13*1.5%</f>
        <v>150000</v>
      </c>
      <c r="K16" s="148"/>
      <c r="L16" s="133" t="s">
        <v>10</v>
      </c>
      <c r="M16" s="134"/>
      <c r="N16" s="126" t="s">
        <v>65</v>
      </c>
      <c r="O16" s="126"/>
      <c r="P16" s="126"/>
      <c r="Q16" s="126"/>
      <c r="R16" s="126"/>
      <c r="S16" s="126"/>
      <c r="T16" s="126"/>
      <c r="U16" s="127"/>
      <c r="V16" s="78"/>
    </row>
    <row r="17" spans="2:25" s="2" customFormat="1" ht="15" x14ac:dyDescent="0.25">
      <c r="G17" s="106" t="s">
        <v>32</v>
      </c>
      <c r="H17" s="107"/>
      <c r="I17" s="107"/>
      <c r="J17" s="148">
        <v>150</v>
      </c>
      <c r="K17" s="148"/>
      <c r="L17" s="133" t="s">
        <v>10</v>
      </c>
      <c r="M17" s="134"/>
      <c r="N17" s="124" t="s">
        <v>37</v>
      </c>
      <c r="O17" s="124"/>
      <c r="P17" s="124"/>
      <c r="Q17" s="124"/>
      <c r="R17" s="124"/>
      <c r="S17" s="124"/>
      <c r="T17" s="124"/>
      <c r="U17" s="125"/>
      <c r="V17" s="4"/>
    </row>
    <row r="18" spans="2:25" s="2" customFormat="1" ht="15" x14ac:dyDescent="0.25">
      <c r="G18" s="106" t="s">
        <v>56</v>
      </c>
      <c r="H18" s="107"/>
      <c r="I18" s="107"/>
      <c r="J18" s="148">
        <f>J15*0.1%+6000</f>
        <v>148000</v>
      </c>
      <c r="K18" s="148"/>
      <c r="L18" s="133" t="s">
        <v>10</v>
      </c>
      <c r="M18" s="134"/>
      <c r="N18" s="126" t="s">
        <v>66</v>
      </c>
      <c r="O18" s="126"/>
      <c r="P18" s="126"/>
      <c r="Q18" s="126"/>
      <c r="R18" s="126"/>
      <c r="S18" s="126"/>
      <c r="T18" s="126"/>
      <c r="U18" s="127"/>
      <c r="V18" s="4"/>
    </row>
    <row r="19" spans="2:25" s="2" customFormat="1" ht="15" customHeight="1" x14ac:dyDescent="0.25">
      <c r="G19" s="157" t="s">
        <v>67</v>
      </c>
      <c r="H19" s="158"/>
      <c r="I19" s="159"/>
      <c r="J19" s="160">
        <f>J15*1%</f>
        <v>1420000</v>
      </c>
      <c r="K19" s="161"/>
      <c r="L19" s="162" t="s">
        <v>10</v>
      </c>
      <c r="M19" s="163"/>
      <c r="N19" s="164" t="s">
        <v>68</v>
      </c>
      <c r="O19" s="165"/>
      <c r="P19" s="165"/>
      <c r="Q19" s="165"/>
      <c r="R19" s="165"/>
      <c r="S19" s="165"/>
      <c r="T19" s="165"/>
      <c r="U19" s="166"/>
      <c r="V19" s="4"/>
    </row>
    <row r="20" spans="2:25" s="2" customFormat="1" ht="15" x14ac:dyDescent="0.25">
      <c r="G20" s="151" t="s">
        <v>33</v>
      </c>
      <c r="H20" s="152"/>
      <c r="I20" s="152"/>
      <c r="J20" s="153">
        <v>150</v>
      </c>
      <c r="K20" s="153"/>
      <c r="L20" s="154" t="s">
        <v>10</v>
      </c>
      <c r="M20" s="155"/>
      <c r="N20" s="124" t="s">
        <v>35</v>
      </c>
      <c r="O20" s="124"/>
      <c r="P20" s="124"/>
      <c r="Q20" s="124"/>
      <c r="R20" s="124"/>
      <c r="S20" s="124"/>
      <c r="T20" s="124"/>
      <c r="U20" s="125"/>
      <c r="V20" s="4"/>
    </row>
    <row r="21" spans="2:25" s="2" customFormat="1" ht="15" x14ac:dyDescent="0.25">
      <c r="G21" s="106" t="s">
        <v>57</v>
      </c>
      <c r="H21" s="107"/>
      <c r="I21" s="108"/>
      <c r="J21" s="120">
        <f>J15*N21</f>
        <v>426000</v>
      </c>
      <c r="K21" s="120"/>
      <c r="L21" s="126" t="s">
        <v>10</v>
      </c>
      <c r="M21" s="137"/>
      <c r="N21" s="81">
        <v>3.0000000000000001E-3</v>
      </c>
      <c r="O21" s="140" t="s">
        <v>62</v>
      </c>
      <c r="P21" s="140"/>
      <c r="Q21" s="140"/>
      <c r="R21" s="140"/>
      <c r="S21" s="140"/>
      <c r="T21" s="140"/>
      <c r="U21" s="141"/>
      <c r="V21" s="77"/>
    </row>
    <row r="22" spans="2:25" s="2" customFormat="1" ht="15" x14ac:dyDescent="0.25">
      <c r="G22" s="106" t="s">
        <v>38</v>
      </c>
      <c r="H22" s="107"/>
      <c r="I22" s="108"/>
      <c r="J22" s="120">
        <f>J13*0.3%</f>
        <v>30000</v>
      </c>
      <c r="K22" s="120"/>
      <c r="L22" s="126" t="s">
        <v>10</v>
      </c>
      <c r="M22" s="137"/>
      <c r="N22" s="81">
        <v>3.0000000000000001E-3</v>
      </c>
      <c r="O22" s="140" t="s">
        <v>63</v>
      </c>
      <c r="P22" s="140"/>
      <c r="Q22" s="140"/>
      <c r="R22" s="140"/>
      <c r="S22" s="140"/>
      <c r="T22" s="140"/>
      <c r="U22" s="141"/>
      <c r="V22" s="77"/>
    </row>
    <row r="23" spans="2:25" s="2" customFormat="1" ht="15.75" thickBot="1" x14ac:dyDescent="0.3">
      <c r="G23" s="129" t="s">
        <v>55</v>
      </c>
      <c r="H23" s="130"/>
      <c r="I23" s="130"/>
      <c r="J23" s="131">
        <v>0.22500000000000001</v>
      </c>
      <c r="K23" s="132"/>
      <c r="L23" s="138" t="s">
        <v>4</v>
      </c>
      <c r="M23" s="139"/>
      <c r="N23" s="135" t="s">
        <v>64</v>
      </c>
      <c r="O23" s="135"/>
      <c r="P23" s="135"/>
      <c r="Q23" s="135"/>
      <c r="R23" s="135"/>
      <c r="S23" s="135"/>
      <c r="T23" s="135"/>
      <c r="U23" s="136"/>
      <c r="V23" s="77"/>
    </row>
    <row r="24" spans="2:25" s="2" customFormat="1" ht="15" x14ac:dyDescent="0.25">
      <c r="G24" s="121" t="s">
        <v>41</v>
      </c>
      <c r="H24" s="121"/>
      <c r="I24" s="121"/>
      <c r="J24" s="121"/>
      <c r="K24" s="79"/>
      <c r="L24" s="80"/>
      <c r="M24" s="80"/>
      <c r="N24" s="71"/>
      <c r="O24" s="71"/>
      <c r="P24" s="71"/>
      <c r="Q24" s="71"/>
      <c r="R24" s="71"/>
      <c r="S24" s="71"/>
      <c r="T24" s="77"/>
      <c r="U24" s="77"/>
      <c r="V24" s="77"/>
    </row>
    <row r="25" spans="2:25" ht="12.75" customHeight="1" x14ac:dyDescent="0.2">
      <c r="G25" s="13"/>
      <c r="H25" s="13"/>
      <c r="I25" s="13"/>
      <c r="J25" s="14"/>
      <c r="K25" s="14"/>
      <c r="L25" s="11"/>
      <c r="M25" s="11"/>
      <c r="N25" s="12"/>
      <c r="O25" s="12"/>
      <c r="P25" s="12"/>
      <c r="Q25" s="12"/>
      <c r="R25" s="12"/>
      <c r="S25" s="12"/>
      <c r="T25" s="70"/>
      <c r="U25" s="70"/>
      <c r="V25" s="69"/>
    </row>
    <row r="26" spans="2:25" s="2" customFormat="1" ht="15" x14ac:dyDescent="0.25">
      <c r="G26" s="119" t="s">
        <v>60</v>
      </c>
      <c r="H26" s="119"/>
      <c r="I26" s="119"/>
      <c r="J26" s="119"/>
      <c r="K26" s="119"/>
      <c r="L26" s="119"/>
      <c r="M26" s="119"/>
      <c r="N26" s="119"/>
      <c r="O26" s="82"/>
      <c r="P26" s="71"/>
      <c r="Q26" s="71"/>
      <c r="R26" s="71"/>
      <c r="S26" s="71"/>
      <c r="T26" s="72"/>
      <c r="U26" s="72"/>
      <c r="V26" s="73"/>
    </row>
    <row r="27" spans="2:25" s="2" customFormat="1" ht="15" x14ac:dyDescent="0.25">
      <c r="G27" s="119" t="s">
        <v>45</v>
      </c>
      <c r="H27" s="119"/>
      <c r="I27" s="119"/>
      <c r="J27" s="119"/>
      <c r="K27" s="119"/>
      <c r="L27" s="119"/>
      <c r="M27" s="119"/>
      <c r="N27" s="119"/>
      <c r="O27" s="74">
        <f>MAX('Умови та класичний графік'!W41:W278)</f>
        <v>0.42583677246093754</v>
      </c>
      <c r="P27" s="75"/>
      <c r="Q27" s="75"/>
      <c r="R27" s="75"/>
      <c r="S27" s="75"/>
      <c r="T27" s="73"/>
      <c r="U27" s="73"/>
      <c r="V27" s="73"/>
    </row>
    <row r="28" spans="2:25" s="2" customFormat="1" ht="15" x14ac:dyDescent="0.25">
      <c r="G28" s="119" t="s">
        <v>39</v>
      </c>
      <c r="H28" s="119"/>
      <c r="I28" s="119"/>
      <c r="J28" s="119"/>
      <c r="K28" s="119"/>
      <c r="L28" s="119"/>
      <c r="M28" s="119"/>
      <c r="N28" s="119"/>
      <c r="O28" s="76">
        <f>J16+J17+J18+J20+J21+J22+J19</f>
        <v>2174300</v>
      </c>
      <c r="P28" s="75"/>
      <c r="Q28" s="75"/>
      <c r="R28" s="75"/>
      <c r="S28" s="75"/>
      <c r="T28" s="73"/>
      <c r="U28" s="73"/>
      <c r="V28" s="73"/>
    </row>
    <row r="29" spans="2:25" s="2" customFormat="1" ht="15" x14ac:dyDescent="0.25">
      <c r="G29" s="119" t="s">
        <v>43</v>
      </c>
      <c r="H29" s="119"/>
      <c r="I29" s="119"/>
      <c r="J29" s="119"/>
      <c r="K29" s="119"/>
      <c r="L29" s="119"/>
      <c r="M29" s="119"/>
      <c r="N29" s="119"/>
      <c r="O29" s="76">
        <f>'Умови та класичний графік'!X278</f>
        <v>33160534.589041106</v>
      </c>
      <c r="P29" s="75"/>
      <c r="Q29" s="75"/>
      <c r="R29" s="75"/>
      <c r="S29" s="75"/>
      <c r="T29" s="73"/>
      <c r="U29" s="73"/>
      <c r="V29" s="73"/>
    </row>
    <row r="30" spans="2:25" s="2" customFormat="1" ht="15" x14ac:dyDescent="0.25">
      <c r="G30" s="119" t="s">
        <v>44</v>
      </c>
      <c r="H30" s="119"/>
      <c r="I30" s="119"/>
      <c r="J30" s="119"/>
      <c r="K30" s="119"/>
      <c r="L30" s="119"/>
      <c r="M30" s="119"/>
      <c r="N30" s="119"/>
      <c r="O30" s="76">
        <f>'Умови та класичний графік'!Y278</f>
        <v>43160534.589041106</v>
      </c>
      <c r="P30" s="75"/>
      <c r="Q30" s="75"/>
      <c r="R30" s="75"/>
      <c r="S30" s="75"/>
      <c r="T30" s="77"/>
      <c r="U30" s="77"/>
      <c r="V30" s="77"/>
    </row>
    <row r="31" spans="2:25" x14ac:dyDescent="0.2">
      <c r="L31" s="1"/>
      <c r="R31" s="58"/>
      <c r="S31" s="59"/>
      <c r="T31" s="59"/>
      <c r="U31" s="59"/>
      <c r="V31" s="59"/>
    </row>
    <row r="32" spans="2:25" s="9" customFormat="1" ht="12.75" customHeight="1" x14ac:dyDescent="0.2">
      <c r="B32" s="87" t="s">
        <v>36</v>
      </c>
      <c r="C32" s="87" t="s">
        <v>26</v>
      </c>
      <c r="D32" s="87" t="s">
        <v>6</v>
      </c>
      <c r="E32" s="87"/>
      <c r="F32" s="95" t="s">
        <v>12</v>
      </c>
      <c r="G32" s="98" t="s">
        <v>47</v>
      </c>
      <c r="H32" s="99"/>
      <c r="I32" s="116" t="s">
        <v>29</v>
      </c>
      <c r="J32" s="109" t="s">
        <v>11</v>
      </c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6" t="s">
        <v>48</v>
      </c>
      <c r="X32" s="87" t="s">
        <v>49</v>
      </c>
      <c r="Y32" s="87" t="s">
        <v>50</v>
      </c>
    </row>
    <row r="33" spans="2:25" s="9" customFormat="1" ht="12.75" customHeight="1" x14ac:dyDescent="0.2">
      <c r="B33" s="87"/>
      <c r="C33" s="87"/>
      <c r="D33" s="87"/>
      <c r="E33" s="87"/>
      <c r="F33" s="96"/>
      <c r="G33" s="100"/>
      <c r="H33" s="101"/>
      <c r="I33" s="117"/>
      <c r="J33" s="104" t="s">
        <v>52</v>
      </c>
      <c r="K33" s="104" t="s">
        <v>51</v>
      </c>
      <c r="L33" s="116" t="s">
        <v>30</v>
      </c>
      <c r="M33" s="110" t="s">
        <v>13</v>
      </c>
      <c r="N33" s="111"/>
      <c r="O33" s="111"/>
      <c r="P33" s="111"/>
      <c r="Q33" s="111"/>
      <c r="R33" s="111"/>
      <c r="S33" s="111"/>
      <c r="T33" s="111"/>
      <c r="U33" s="111"/>
      <c r="V33" s="112"/>
      <c r="W33" s="117"/>
      <c r="X33" s="87"/>
      <c r="Y33" s="87"/>
    </row>
    <row r="34" spans="2:25" s="9" customFormat="1" ht="15" customHeight="1" x14ac:dyDescent="0.2">
      <c r="B34" s="87"/>
      <c r="C34" s="87"/>
      <c r="D34" s="87"/>
      <c r="E34" s="87"/>
      <c r="F34" s="96"/>
      <c r="G34" s="100"/>
      <c r="H34" s="101"/>
      <c r="I34" s="117"/>
      <c r="J34" s="105"/>
      <c r="K34" s="105"/>
      <c r="L34" s="117"/>
      <c r="M34" s="110" t="s">
        <v>14</v>
      </c>
      <c r="N34" s="111"/>
      <c r="O34" s="111"/>
      <c r="P34" s="112"/>
      <c r="Q34" s="113" t="s">
        <v>17</v>
      </c>
      <c r="R34" s="114"/>
      <c r="S34" s="113" t="s">
        <v>20</v>
      </c>
      <c r="T34" s="115"/>
      <c r="U34" s="115"/>
      <c r="V34" s="114"/>
      <c r="W34" s="117"/>
      <c r="X34" s="87"/>
      <c r="Y34" s="87"/>
    </row>
    <row r="35" spans="2:25" s="9" customFormat="1" ht="55.5" customHeight="1" x14ac:dyDescent="0.2">
      <c r="B35" s="87"/>
      <c r="C35" s="87"/>
      <c r="D35" s="16" t="s">
        <v>7</v>
      </c>
      <c r="E35" s="16" t="s">
        <v>8</v>
      </c>
      <c r="F35" s="97"/>
      <c r="G35" s="100"/>
      <c r="H35" s="101"/>
      <c r="I35" s="118"/>
      <c r="J35" s="105"/>
      <c r="K35" s="105"/>
      <c r="L35" s="118"/>
      <c r="M35" s="16" t="s">
        <v>15</v>
      </c>
      <c r="N35" s="17" t="s">
        <v>9</v>
      </c>
      <c r="O35" s="17" t="s">
        <v>16</v>
      </c>
      <c r="P35" s="17" t="s">
        <v>5</v>
      </c>
      <c r="Q35" s="17" t="s">
        <v>18</v>
      </c>
      <c r="R35" s="18" t="s">
        <v>19</v>
      </c>
      <c r="S35" s="17" t="s">
        <v>21</v>
      </c>
      <c r="T35" s="17" t="s">
        <v>22</v>
      </c>
      <c r="U35" s="17" t="s">
        <v>23</v>
      </c>
      <c r="V35" s="17" t="s">
        <v>28</v>
      </c>
      <c r="W35" s="118"/>
      <c r="X35" s="87"/>
      <c r="Y35" s="87"/>
    </row>
    <row r="36" spans="2:25" s="24" customFormat="1" x14ac:dyDescent="0.2">
      <c r="B36" s="19">
        <v>1</v>
      </c>
      <c r="C36" s="20">
        <v>2</v>
      </c>
      <c r="D36" s="19">
        <v>3</v>
      </c>
      <c r="E36" s="19">
        <v>4</v>
      </c>
      <c r="F36" s="19">
        <v>5</v>
      </c>
      <c r="G36" s="91">
        <v>6</v>
      </c>
      <c r="H36" s="91"/>
      <c r="I36" s="19">
        <v>9</v>
      </c>
      <c r="J36" s="19">
        <v>10</v>
      </c>
      <c r="K36" s="19">
        <v>11</v>
      </c>
      <c r="L36" s="19"/>
      <c r="M36" s="19">
        <v>14</v>
      </c>
      <c r="N36" s="21">
        <v>15</v>
      </c>
      <c r="O36" s="19">
        <v>16</v>
      </c>
      <c r="P36" s="19">
        <v>17</v>
      </c>
      <c r="Q36" s="19">
        <v>18</v>
      </c>
      <c r="R36" s="19">
        <v>19</v>
      </c>
      <c r="S36" s="22">
        <v>20</v>
      </c>
      <c r="T36" s="22">
        <v>21</v>
      </c>
      <c r="U36" s="22">
        <v>22</v>
      </c>
      <c r="V36" s="22">
        <v>23</v>
      </c>
      <c r="W36" s="19">
        <v>24</v>
      </c>
      <c r="X36" s="19">
        <v>27</v>
      </c>
      <c r="Y36" s="23">
        <v>30</v>
      </c>
    </row>
    <row r="37" spans="2:25" x14ac:dyDescent="0.2">
      <c r="B37" s="25" t="s">
        <v>24</v>
      </c>
      <c r="C37" s="26">
        <f>F7</f>
        <v>45292</v>
      </c>
      <c r="D37" s="27" t="s">
        <v>24</v>
      </c>
      <c r="E37" s="27" t="s">
        <v>24</v>
      </c>
      <c r="F37" s="28" t="s">
        <v>24</v>
      </c>
      <c r="G37" s="142">
        <f>-('Умови та класичний графік'!J13-L37)</f>
        <v>-7825700</v>
      </c>
      <c r="H37" s="143"/>
      <c r="I37" s="29" t="s">
        <v>24</v>
      </c>
      <c r="J37" s="28" t="s">
        <v>24</v>
      </c>
      <c r="K37" s="28" t="s">
        <v>24</v>
      </c>
      <c r="L37" s="30">
        <f>SUM(M37:V37)</f>
        <v>2174300</v>
      </c>
      <c r="M37" s="31">
        <v>0</v>
      </c>
      <c r="N37" s="31">
        <v>150</v>
      </c>
      <c r="O37" s="32">
        <f>J16</f>
        <v>150000</v>
      </c>
      <c r="P37" s="31">
        <f>SUM(P38:P277)</f>
        <v>0</v>
      </c>
      <c r="Q37" s="31">
        <f>SUM(Q38:Q277)</f>
        <v>0</v>
      </c>
      <c r="R37" s="31">
        <f>SUM(R38:R277)</f>
        <v>0</v>
      </c>
      <c r="S37" s="33">
        <f>('Умови та класичний графік'!J15*0.1%+6000)</f>
        <v>148000</v>
      </c>
      <c r="T37" s="33">
        <f>SUM(T38:T277)</f>
        <v>0</v>
      </c>
      <c r="U37" s="33">
        <f>J21+J22</f>
        <v>456000</v>
      </c>
      <c r="V37" s="33">
        <f>150+J19</f>
        <v>1420150</v>
      </c>
      <c r="W37" s="34"/>
      <c r="X37" s="32"/>
      <c r="Y37" s="35"/>
    </row>
    <row r="38" spans="2:25" x14ac:dyDescent="0.2">
      <c r="B38" s="25">
        <v>1</v>
      </c>
      <c r="C38" s="36">
        <v>45323</v>
      </c>
      <c r="D38" s="36">
        <f>C37</f>
        <v>45292</v>
      </c>
      <c r="E38" s="26">
        <f>C38-1</f>
        <v>45322</v>
      </c>
      <c r="F38" s="37">
        <f>E38-D38+1</f>
        <v>31</v>
      </c>
      <c r="G38" s="144">
        <f>J38+K38+L38</f>
        <v>232762.55707762556</v>
      </c>
      <c r="H38" s="144"/>
      <c r="I38" s="32">
        <f>'Умови та класичний графік'!J13-J38</f>
        <v>9958333.333333334</v>
      </c>
      <c r="J38" s="32">
        <f>'Умови та класичний графік'!J13/'Умови та класичний графік'!J14</f>
        <v>41666.666666666664</v>
      </c>
      <c r="K38" s="32">
        <f>(('Умови та класичний графік'!J13*'Умови та класичний графік'!$J$23)/365)*F38</f>
        <v>191095.89041095891</v>
      </c>
      <c r="L38" s="30">
        <f t="shared" ref="L38:L39" si="0">SUM(M38:V38)</f>
        <v>0</v>
      </c>
      <c r="M38" s="38"/>
      <c r="N38" s="39"/>
      <c r="O38" s="40"/>
      <c r="P38" s="32"/>
      <c r="Q38" s="40"/>
      <c r="R38" s="40"/>
      <c r="S38" s="41"/>
      <c r="T38" s="41"/>
      <c r="U38" s="41"/>
      <c r="V38" s="41"/>
      <c r="W38" s="43" t="str">
        <f>IF(B37&lt;'Умови та класичний графік'!$J$14,XIRR($G$37:G38,$C$37:C38,0),"")</f>
        <v/>
      </c>
      <c r="X38" s="42"/>
      <c r="Y38" s="35"/>
    </row>
    <row r="39" spans="2:25" x14ac:dyDescent="0.2">
      <c r="B39" s="25">
        <v>2</v>
      </c>
      <c r="C39" s="36">
        <v>45352</v>
      </c>
      <c r="D39" s="36">
        <f t="shared" ref="D39" si="1">C38</f>
        <v>45323</v>
      </c>
      <c r="E39" s="26">
        <f t="shared" ref="E39" si="2">C39-1</f>
        <v>45351</v>
      </c>
      <c r="F39" s="37">
        <f t="shared" ref="F39" si="3">E39-D39+1</f>
        <v>29</v>
      </c>
      <c r="G39" s="144">
        <f>J39+K39+L39</f>
        <v>219688.92694063924</v>
      </c>
      <c r="H39" s="144"/>
      <c r="I39" s="32">
        <f>I38-J39</f>
        <v>9916666.6666666679</v>
      </c>
      <c r="J39" s="32">
        <f>J38</f>
        <v>41666.666666666664</v>
      </c>
      <c r="K39" s="32">
        <f>((I38*'Умови та класичний графік'!$J$23)/365)*F39</f>
        <v>178022.26027397258</v>
      </c>
      <c r="L39" s="30">
        <f t="shared" si="0"/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графік'!$J$14,XIRR($G$37:G39,$C$37:C39,0),"")</f>
        <v>-0.99999999886264068</v>
      </c>
      <c r="X39" s="42"/>
      <c r="Y39" s="35"/>
    </row>
    <row r="40" spans="2:25" s="46" customFormat="1" x14ac:dyDescent="0.2">
      <c r="B40" s="25">
        <v>3</v>
      </c>
      <c r="C40" s="36">
        <f>IF(B39&lt;'Умови та класичний графік'!$J$14,EDATE(C39,1),"")</f>
        <v>45383</v>
      </c>
      <c r="D40" s="36">
        <f>IF(B39&lt;'Умови та класичний графік'!$J$14,C39,"")</f>
        <v>45352</v>
      </c>
      <c r="E40" s="26">
        <f>IF(B39&lt;'Умови та класичний графік'!$J$14,C40-1,"")</f>
        <v>45382</v>
      </c>
      <c r="F40" s="37">
        <f>IF(B39&lt;'Умови та класичний графік'!$J$14,E40-D40+1,"")</f>
        <v>31</v>
      </c>
      <c r="G40" s="89">
        <f>IF(B39&lt;'Умови та класичний графік'!$J$14,J40+K40+L40,"")</f>
        <v>231170.09132420094</v>
      </c>
      <c r="H40" s="90"/>
      <c r="I40" s="32">
        <f>IF(B39&lt;'Умови та класичний графік'!$J$14,I39-J40,"")</f>
        <v>9875000.0000000019</v>
      </c>
      <c r="J40" s="32">
        <f>IF(B39&lt;'Умови та класичний графік'!$J$14,J39,"")</f>
        <v>41666.666666666664</v>
      </c>
      <c r="K40" s="32">
        <f>IF(B39&lt;'Умови та класичний графік'!$J$14,((I39*'Умови та класичний графік'!$J$23)/365)*F40,"")</f>
        <v>189503.42465753428</v>
      </c>
      <c r="L40" s="30">
        <f>IF(B39&lt;'Умови та класичний графік'!$J$14,SUM(M40:V40),"")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графік'!$J$14,XIRR($G$37:G40,$C$37:C40,0),"")</f>
        <v>-0.999996737556895</v>
      </c>
      <c r="X40" s="44"/>
      <c r="Y40" s="45"/>
    </row>
    <row r="41" spans="2:25" x14ac:dyDescent="0.2">
      <c r="B41" s="25">
        <v>4</v>
      </c>
      <c r="C41" s="36">
        <f>IF(B40&lt;'Умови та класичний графік'!$J$14,EDATE(C40,1),"")</f>
        <v>45413</v>
      </c>
      <c r="D41" s="36">
        <f>IF(B40&lt;'Умови та класичний графік'!$J$14,C40,"")</f>
        <v>45383</v>
      </c>
      <c r="E41" s="26">
        <f>IF(B40&lt;'Умови та класичний графік'!$J$14,C41-1,"")</f>
        <v>45412</v>
      </c>
      <c r="F41" s="37">
        <f>IF(B40&lt;'Умови та класичний графік'!$J$14,E41-D41+1,"")</f>
        <v>30</v>
      </c>
      <c r="G41" s="89">
        <f>IF(B40&lt;'Умови та класичний графік'!$J$14,J41+K41+L41,"")</f>
        <v>224286.52968036535</v>
      </c>
      <c r="H41" s="90"/>
      <c r="I41" s="32">
        <f>IF(B40&lt;'Умови та класичний графік'!$J$14,I40-J41,"")</f>
        <v>9833333.3333333358</v>
      </c>
      <c r="J41" s="32">
        <f>IF(B40&lt;'Умови та класичний графік'!$J$14,J40,"")</f>
        <v>41666.666666666664</v>
      </c>
      <c r="K41" s="32">
        <f>IF(B40&lt;'Умови та класичний графік'!$J$14,((I40*'Умови та класичний графік'!$J$23)/365)*F41,"")</f>
        <v>182619.86301369869</v>
      </c>
      <c r="L41" s="30">
        <f>IF(B40&lt;'Умови та класичний графік'!$J$14,SUM(M41:V41),"")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графік'!$J$14,XIRR($G$37:G41,$C$37:C41,0),"")</f>
        <v>-0.99986156758868272</v>
      </c>
      <c r="X41" s="42"/>
      <c r="Y41" s="35"/>
    </row>
    <row r="42" spans="2:25" x14ac:dyDescent="0.2">
      <c r="B42" s="25">
        <v>5</v>
      </c>
      <c r="C42" s="36">
        <f>IF(B41&lt;'Умови та класичний графік'!$J$14,EDATE(C41,1),"")</f>
        <v>45444</v>
      </c>
      <c r="D42" s="36">
        <f>IF(B41&lt;'Умови та класичний графік'!$J$14,C41,"")</f>
        <v>45413</v>
      </c>
      <c r="E42" s="26">
        <f>IF(B41&lt;'Умови та класичний графік'!$J$14,C42-1,"")</f>
        <v>45443</v>
      </c>
      <c r="F42" s="37">
        <f>IF(B41&lt;'Умови та класичний графік'!$J$14,E42-D42+1,"")</f>
        <v>31</v>
      </c>
      <c r="G42" s="89">
        <f>IF(B41&lt;'Умови та класичний графік'!$J$14,J42+K42+L42,"")</f>
        <v>229577.62557077629</v>
      </c>
      <c r="H42" s="90"/>
      <c r="I42" s="32">
        <f>IF(B41&lt;'Умови та класичний графік'!$J$14,I41-J42,"")</f>
        <v>9791666.6666666698</v>
      </c>
      <c r="J42" s="32">
        <f>IF(B41&lt;'Умови та класичний графік'!$J$14,J41,"")</f>
        <v>41666.666666666664</v>
      </c>
      <c r="K42" s="32">
        <f>IF(B41&lt;'Умови та класичний графік'!$J$14,((I41*'Умови та класичний графік'!$J$23)/365)*F42,"")</f>
        <v>187910.95890410963</v>
      </c>
      <c r="L42" s="30">
        <f>IF(B41&lt;'Умови та класичний графік'!$J$14,SUM(M42:V42),"")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графік'!$J$14,XIRR($G$37:G42,$C$37:C42,0),"")</f>
        <v>-0.99863115041335793</v>
      </c>
      <c r="X42" s="42"/>
      <c r="Y42" s="35"/>
    </row>
    <row r="43" spans="2:25" x14ac:dyDescent="0.2">
      <c r="B43" s="25">
        <v>6</v>
      </c>
      <c r="C43" s="36">
        <f>IF(B42&lt;'Умови та класичний графік'!$J$14,EDATE(C42,1),"")</f>
        <v>45474</v>
      </c>
      <c r="D43" s="36">
        <f>IF(B42&lt;'Умови та класичний графік'!$J$14,C42,"")</f>
        <v>45444</v>
      </c>
      <c r="E43" s="26">
        <f>IF(B42&lt;'Умови та класичний графік'!$J$14,C43-1,"")</f>
        <v>45473</v>
      </c>
      <c r="F43" s="37">
        <f>IF(B42&lt;'Умови та класичний графік'!$J$14,E43-D43+1,"")</f>
        <v>30</v>
      </c>
      <c r="G43" s="89">
        <f>IF(B42&lt;'Умови та класичний графік'!$J$14,J43+K43+L43,"")</f>
        <v>222745.4337899544</v>
      </c>
      <c r="H43" s="90"/>
      <c r="I43" s="32">
        <f>IF(B42&lt;'Умови та класичний графік'!$J$14,I42-J43,"")</f>
        <v>9750000.0000000037</v>
      </c>
      <c r="J43" s="32">
        <f>IF(B42&lt;'Умови та класичний графік'!$J$14,J42,"")</f>
        <v>41666.666666666664</v>
      </c>
      <c r="K43" s="32">
        <f>IF(B42&lt;'Умови та класичний графік'!$J$14,((I42*'Умови та класичний графік'!$J$23)/365)*F43,"")</f>
        <v>181078.76712328775</v>
      </c>
      <c r="L43" s="30">
        <f>IF(B42&lt;'Умови та класичний графік'!$J$14,SUM(M43:V43),"")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графік'!$J$14,XIRR($G$37:G43,$C$37:C43,0),"")</f>
        <v>-0.99423296509653802</v>
      </c>
      <c r="X43" s="42"/>
      <c r="Y43" s="35"/>
    </row>
    <row r="44" spans="2:25" x14ac:dyDescent="0.2">
      <c r="B44" s="25">
        <v>7</v>
      </c>
      <c r="C44" s="36">
        <f>IF(B43&lt;'Умови та класичний графік'!$J$14,EDATE(C43,1),"")</f>
        <v>45505</v>
      </c>
      <c r="D44" s="36">
        <f>IF(B43&lt;'Умови та класичний графік'!$J$14,C43,"")</f>
        <v>45474</v>
      </c>
      <c r="E44" s="26">
        <f>IF(B43&lt;'Умови та класичний графік'!$J$14,C44-1,"")</f>
        <v>45504</v>
      </c>
      <c r="F44" s="37">
        <f>IF(B43&lt;'Умови та класичний графік'!$J$14,E44-D44+1,"")</f>
        <v>31</v>
      </c>
      <c r="G44" s="89">
        <f>IF(B43&lt;'Умови та класичний графік'!$J$14,J44+K44+L44,"")</f>
        <v>227985.15981735167</v>
      </c>
      <c r="H44" s="90"/>
      <c r="I44" s="32">
        <f>IF(B43&lt;'Умови та класичний графік'!$J$14,I43-J44,"")</f>
        <v>9708333.3333333377</v>
      </c>
      <c r="J44" s="32">
        <f>IF(B43&lt;'Умови та класичний графік'!$J$14,J43,"")</f>
        <v>41666.666666666664</v>
      </c>
      <c r="K44" s="32">
        <f>IF(B43&lt;'Умови та класичний графік'!$J$14,((I43*'Умови та класичний графік'!$J$23)/365)*F44,"")</f>
        <v>186318.49315068501</v>
      </c>
      <c r="L44" s="30">
        <f>IF(B43&lt;'Умови та класичний графік'!$J$14,SUM(M44:V44),"")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графік'!$J$14,XIRR($G$37:G44,$C$37:C44,0),"")</f>
        <v>-0.98375548089476328</v>
      </c>
      <c r="X44" s="42"/>
      <c r="Y44" s="35"/>
    </row>
    <row r="45" spans="2:25" x14ac:dyDescent="0.2">
      <c r="B45" s="25">
        <v>8</v>
      </c>
      <c r="C45" s="36">
        <f>IF(B44&lt;'Умови та класичний графік'!$J$14,EDATE(C44,1),"")</f>
        <v>45536</v>
      </c>
      <c r="D45" s="36">
        <f>IF(B44&lt;'Умови та класичний графік'!$J$14,C44,"")</f>
        <v>45505</v>
      </c>
      <c r="E45" s="26">
        <f>IF(B44&lt;'Умови та класичний графік'!$J$14,C45-1,"")</f>
        <v>45535</v>
      </c>
      <c r="F45" s="37">
        <f>IF(B44&lt;'Умови та класичний графік'!$J$14,E45-D45+1,"")</f>
        <v>31</v>
      </c>
      <c r="G45" s="89">
        <f>IF(B44&lt;'Умови та класичний графік'!$J$14,J45+K45+L45,"")</f>
        <v>227188.92694063933</v>
      </c>
      <c r="H45" s="90"/>
      <c r="I45" s="32">
        <f>IF(B44&lt;'Умови та класичний графік'!$J$14,I44-J45,"")</f>
        <v>9666666.6666666716</v>
      </c>
      <c r="J45" s="32">
        <f>IF(B44&lt;'Умови та класичний графік'!$J$14,J44,"")</f>
        <v>41666.666666666664</v>
      </c>
      <c r="K45" s="32">
        <f>IF(B44&lt;'Умови та класичний графік'!$J$14,((I44*'Умови та класичний графік'!$J$23)/365)*F45,"")</f>
        <v>185522.26027397267</v>
      </c>
      <c r="L45" s="30">
        <f>IF(B44&lt;'Умови та класичний графік'!$J$14,SUM(M45:V45),"")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графік'!$J$14,XIRR($G$37:G45,$C$37:C45,0),"")</f>
        <v>-0.9655369855905882</v>
      </c>
      <c r="X45" s="42"/>
      <c r="Y45" s="35"/>
    </row>
    <row r="46" spans="2:25" x14ac:dyDescent="0.2">
      <c r="B46" s="25">
        <v>9</v>
      </c>
      <c r="C46" s="36">
        <f>IF(B45&lt;'Умови та класичний графік'!$J$14,EDATE(C45,1),"")</f>
        <v>45566</v>
      </c>
      <c r="D46" s="36">
        <f>IF(B45&lt;'Умови та класичний графік'!$J$14,C45,"")</f>
        <v>45536</v>
      </c>
      <c r="E46" s="26">
        <f>IF(B45&lt;'Умови та класичний графік'!$J$14,C46-1,"")</f>
        <v>45565</v>
      </c>
      <c r="F46" s="37">
        <f>IF(B45&lt;'Умови та класичний графік'!$J$14,E46-D46+1,"")</f>
        <v>30</v>
      </c>
      <c r="G46" s="89">
        <f>IF(B45&lt;'Умови та класичний графік'!$J$14,J46+K46+L46,"")</f>
        <v>220433.78995433802</v>
      </c>
      <c r="H46" s="90"/>
      <c r="I46" s="32">
        <f>IF(B45&lt;'Умови та класичний графік'!$J$14,I45-J46,"")</f>
        <v>9625000.0000000056</v>
      </c>
      <c r="J46" s="32">
        <f>IF(B45&lt;'Умови та класичний графік'!$J$14,J45,"")</f>
        <v>41666.666666666664</v>
      </c>
      <c r="K46" s="32">
        <f>IF(B45&lt;'Умови та класичний графік'!$J$14,((I45*'Умови та класичний графік'!$J$23)/365)*F46,"")</f>
        <v>178767.12328767136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графік'!$J$14,XIRR($G$37:G46,$C$37:C46,0),"")</f>
        <v>-0.94013016936726868</v>
      </c>
      <c r="X46" s="42"/>
      <c r="Y46" s="35"/>
    </row>
    <row r="47" spans="2:25" x14ac:dyDescent="0.2">
      <c r="B47" s="25">
        <v>10</v>
      </c>
      <c r="C47" s="36">
        <f>IF(B46&lt;'Умови та класичний графік'!$J$14,EDATE(C46,1),"")</f>
        <v>45597</v>
      </c>
      <c r="D47" s="36">
        <f>IF(B46&lt;'Умови та класичний графік'!$J$14,C46,"")</f>
        <v>45566</v>
      </c>
      <c r="E47" s="26">
        <f>IF(B46&lt;'Умови та класичний графік'!$J$14,C47-1,"")</f>
        <v>45596</v>
      </c>
      <c r="F47" s="37">
        <f>IF(B46&lt;'Умови та класичний графік'!$J$14,E47-D47+1,"")</f>
        <v>31</v>
      </c>
      <c r="G47" s="89">
        <f>IF(B46&lt;'Умови та класичний графік'!$J$14,J47+K47+L47,"")</f>
        <v>225596.46118721474</v>
      </c>
      <c r="H47" s="90"/>
      <c r="I47" s="32">
        <f>IF(B46&lt;'Умови та класичний графік'!$J$14,I46-J47,"")</f>
        <v>9583333.3333333395</v>
      </c>
      <c r="J47" s="32">
        <f>IF(B46&lt;'Умови та класичний графік'!$J$14,J46,"")</f>
        <v>41666.666666666664</v>
      </c>
      <c r="K47" s="32">
        <f>IF(B46&lt;'Умови та класичний графік'!$J$14,((I46*'Умови та класичний графік'!$J$23)/365)*F47,"")</f>
        <v>183929.79452054808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графік'!$J$14,XIRR($G$37:G47,$C$37:C47,0),"")</f>
        <v>-0.90667705429486933</v>
      </c>
      <c r="X47" s="42"/>
      <c r="Y47" s="35"/>
    </row>
    <row r="48" spans="2:25" x14ac:dyDescent="0.2">
      <c r="B48" s="25">
        <v>11</v>
      </c>
      <c r="C48" s="36">
        <f>IF(B47&lt;'Умови та класичний графік'!$J$14,EDATE(C47,1),"")</f>
        <v>45627</v>
      </c>
      <c r="D48" s="36">
        <f>IF(B47&lt;'Умови та класичний графік'!$J$14,C47,"")</f>
        <v>45597</v>
      </c>
      <c r="E48" s="26">
        <f>IF(B47&lt;'Умови та класичний графік'!$J$14,C48-1,"")</f>
        <v>45626</v>
      </c>
      <c r="F48" s="37">
        <f>IF(B47&lt;'Умови та класичний графік'!$J$14,E48-D48+1,"")</f>
        <v>30</v>
      </c>
      <c r="G48" s="89">
        <f>IF(B47&lt;'Умови та класичний графік'!$J$14,J48+K48+L48,"")</f>
        <v>218892.69406392705</v>
      </c>
      <c r="H48" s="90"/>
      <c r="I48" s="32">
        <f>IF(B47&lt;'Умови та класичний графік'!$J$14,I47-J48,"")</f>
        <v>9541666.6666666735</v>
      </c>
      <c r="J48" s="32">
        <f>IF(B47&lt;'Умови та класичний графік'!$J$14,J47,"")</f>
        <v>41666.666666666664</v>
      </c>
      <c r="K48" s="32">
        <f>IF(B47&lt;'Умови та класичний графік'!$J$14,((I47*'Умови та класичний графік'!$J$23)/365)*F48,"")</f>
        <v>177226.02739726039</v>
      </c>
      <c r="L48" s="30">
        <f>IF(B47&lt;'Умови та класичний графік'!$J$14,SUM(M48:V48),"")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графік'!$J$14,XIRR($G$37:G48,$C$37:C48,0),"")</f>
        <v>-0.86842877860121437</v>
      </c>
      <c r="X48" s="42"/>
      <c r="Y48" s="35"/>
    </row>
    <row r="49" spans="2:25" x14ac:dyDescent="0.2">
      <c r="B49" s="25">
        <v>12</v>
      </c>
      <c r="C49" s="36">
        <f>IF(B48&lt;'Умови та класичний графік'!$J$14,EDATE(C48,1),"")</f>
        <v>45658</v>
      </c>
      <c r="D49" s="36">
        <f>IF(B48&lt;'Умови та класичний графік'!$J$14,C48,"")</f>
        <v>45627</v>
      </c>
      <c r="E49" s="26">
        <f>IF(B48&lt;'Умови та класичний графік'!$J$14,C49-1,"")</f>
        <v>45657</v>
      </c>
      <c r="F49" s="37">
        <f>IF(B48&lt;'Умови та класичний графік'!$J$14,E49-D49+1,"")</f>
        <v>31</v>
      </c>
      <c r="G49" s="89">
        <f>IF(B48&lt;'Умови та класичний графік'!$J$14,J49+K49+L49,"")</f>
        <v>678503.99543379003</v>
      </c>
      <c r="H49" s="90"/>
      <c r="I49" s="32">
        <f>IF(B48&lt;'Умови та класичний графік'!$J$14,I48-J49,"")</f>
        <v>9500000.0000000075</v>
      </c>
      <c r="J49" s="32">
        <f>IF(B48&lt;'Умови та класичний графік'!$J$14,J48,"")</f>
        <v>41666.666666666664</v>
      </c>
      <c r="K49" s="32">
        <f>IF(B48&lt;'Умови та класичний графік'!$J$14,((I48*'Умови та класичний графік'!$J$23)/365)*F49,"")</f>
        <v>182337.3287671234</v>
      </c>
      <c r="L49" s="30">
        <f>IF(B48&lt;'Умови та класичний графік'!$J$14,SUM(M49:V49),"")</f>
        <v>454500</v>
      </c>
      <c r="M49" s="38"/>
      <c r="N49" s="39"/>
      <c r="O49" s="39"/>
      <c r="P49" s="32"/>
      <c r="Q49" s="40"/>
      <c r="R49" s="40"/>
      <c r="S49" s="41"/>
      <c r="T49" s="41"/>
      <c r="U49" s="33">
        <f>IF(B48&lt;'Умови та класичний графік'!$J$14,('Умови та класичний графік'!$J$15*$N$21)+(I49*$N$22),"")</f>
        <v>454500</v>
      </c>
      <c r="V49" s="41"/>
      <c r="W49" s="43">
        <f>IF(B48&lt;'Умови та класичний графік'!$J$14,XIRR($G$37:G49,$C$37:C49,0),"")</f>
        <v>-0.74202915464393782</v>
      </c>
      <c r="X49" s="42"/>
      <c r="Y49" s="35"/>
    </row>
    <row r="50" spans="2:25" x14ac:dyDescent="0.2">
      <c r="B50" s="25">
        <v>13</v>
      </c>
      <c r="C50" s="36">
        <f>IF(B49&lt;'Умови та класичний графік'!$J$14,EDATE(C49,1),"")</f>
        <v>45689</v>
      </c>
      <c r="D50" s="36">
        <f>IF(B49&lt;'Умови та класичний графік'!$J$14,C49,"")</f>
        <v>45658</v>
      </c>
      <c r="E50" s="26">
        <f>IF(B49&lt;'Умови та класичний графік'!$J$14,C50-1,"")</f>
        <v>45688</v>
      </c>
      <c r="F50" s="37">
        <f>IF(B49&lt;'Умови та класичний графік'!$J$14,E50-D50+1,"")</f>
        <v>31</v>
      </c>
      <c r="G50" s="89">
        <f>IF(B49&lt;'Умови та класичний графік'!$J$14,J50+K50+L50,"")</f>
        <v>223207.76255707777</v>
      </c>
      <c r="H50" s="90"/>
      <c r="I50" s="32">
        <f>IF(B49&lt;'Умови та класичний графік'!$J$14,I49-J50,"")</f>
        <v>9458333.3333333414</v>
      </c>
      <c r="J50" s="32">
        <f>IF(B49&lt;'Умови та класичний графік'!$J$14,J49,"")</f>
        <v>41666.666666666664</v>
      </c>
      <c r="K50" s="32">
        <f>IF(B49&lt;'Умови та класичний графік'!$J$14,((I49*'Умови та класичний графік'!$J$23)/365)*F50,"")</f>
        <v>181541.09589041112</v>
      </c>
      <c r="L50" s="30">
        <f>IF(B49&lt;'Умови та класичний графік'!$J$14,SUM(M50:V50),"")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графік'!$J$14,XIRR($G$37:G50,$C$37:C50,0),"")</f>
        <v>-0.6990957623039934</v>
      </c>
      <c r="X50" s="42"/>
      <c r="Y50" s="35"/>
    </row>
    <row r="51" spans="2:25" x14ac:dyDescent="0.2">
      <c r="B51" s="25">
        <v>14</v>
      </c>
      <c r="C51" s="36">
        <f>IF(B50&lt;'Умови та класичний графік'!$J$14,EDATE(C50,1),"")</f>
        <v>45717</v>
      </c>
      <c r="D51" s="36">
        <f>IF(B50&lt;'Умови та класичний графік'!$J$14,C50,"")</f>
        <v>45689</v>
      </c>
      <c r="E51" s="26">
        <f>IF(B50&lt;'Умови та класичний графік'!$J$14,C51-1,"")</f>
        <v>45716</v>
      </c>
      <c r="F51" s="37">
        <f>IF(B50&lt;'Умови та класичний графік'!$J$14,E51-D51+1,"")</f>
        <v>28</v>
      </c>
      <c r="G51" s="89">
        <f>IF(B50&lt;'Умови та класичний графік'!$J$14,J51+K51+L51,"")</f>
        <v>204920.09132420103</v>
      </c>
      <c r="H51" s="90"/>
      <c r="I51" s="32">
        <f>IF(B50&lt;'Умови та класичний графік'!$J$14,I50-J51,"")</f>
        <v>9416666.6666666754</v>
      </c>
      <c r="J51" s="32">
        <f>IF(B50&lt;'Умови та класичний графік'!$J$14,J50,"")</f>
        <v>41666.666666666664</v>
      </c>
      <c r="K51" s="32">
        <f>IF(B50&lt;'Умови та класичний графік'!$J$14,((I50*'Умови та класичний графік'!$J$23)/365)*F51,"")</f>
        <v>163253.42465753437</v>
      </c>
      <c r="L51" s="30">
        <f>IF(B50&lt;'Умови та класичний графік'!$J$14,SUM(M51:V51),"")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графік'!$J$14,XIRR($G$37:G51,$C$37:C51,0),"")</f>
        <v>-0.65808878771997981</v>
      </c>
      <c r="X51" s="42"/>
      <c r="Y51" s="35"/>
    </row>
    <row r="52" spans="2:25" x14ac:dyDescent="0.2">
      <c r="B52" s="25">
        <v>15</v>
      </c>
      <c r="C52" s="36">
        <f>IF(B51&lt;'Умови та класичний графік'!$J$14,EDATE(C51,1),"")</f>
        <v>45748</v>
      </c>
      <c r="D52" s="36">
        <f>IF(B51&lt;'Умови та класичний графік'!$J$14,C51,"")</f>
        <v>45717</v>
      </c>
      <c r="E52" s="26">
        <f>IF(B51&lt;'Умови та класичний графік'!$J$14,C52-1,"")</f>
        <v>45747</v>
      </c>
      <c r="F52" s="37">
        <f>IF(B51&lt;'Умови та класичний графік'!$J$14,E52-D52+1,"")</f>
        <v>31</v>
      </c>
      <c r="G52" s="89">
        <f>IF(B51&lt;'Умови та класичний графік'!$J$14,J52+K52+L52,"")</f>
        <v>221615.29680365309</v>
      </c>
      <c r="H52" s="90"/>
      <c r="I52" s="32">
        <f>IF(B51&lt;'Умови та класичний графік'!$J$14,I51-J52,"")</f>
        <v>9375000.0000000093</v>
      </c>
      <c r="J52" s="32">
        <f>IF(B51&lt;'Умови та класичний графік'!$J$14,J51,"")</f>
        <v>41666.666666666664</v>
      </c>
      <c r="K52" s="32">
        <f>IF(B51&lt;'Умови та класичний графік'!$J$14,((I51*'Умови та класичний графік'!$J$23)/365)*F52,"")</f>
        <v>179948.63013698644</v>
      </c>
      <c r="L52" s="30">
        <f>IF(B51&lt;'Умови та класичний графік'!$J$14,SUM(M52:V52),"")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графік'!$J$14,XIRR($G$37:G52,$C$37:C52,0),"")</f>
        <v>-0.61252229712136097</v>
      </c>
      <c r="X52" s="42"/>
      <c r="Y52" s="35"/>
    </row>
    <row r="53" spans="2:25" x14ac:dyDescent="0.2">
      <c r="B53" s="25">
        <v>16</v>
      </c>
      <c r="C53" s="36">
        <f>IF(B52&lt;'Умови та класичний графік'!$J$14,EDATE(C52,1),"")</f>
        <v>45778</v>
      </c>
      <c r="D53" s="36">
        <f>IF(B52&lt;'Умови та класичний графік'!$J$14,C52,"")</f>
        <v>45748</v>
      </c>
      <c r="E53" s="26">
        <f>IF(B52&lt;'Умови та класичний графік'!$J$14,C53-1,"")</f>
        <v>45777</v>
      </c>
      <c r="F53" s="37">
        <f>IF(B52&lt;'Умови та класичний графік'!$J$14,E53-D53+1,"")</f>
        <v>30</v>
      </c>
      <c r="G53" s="89">
        <f>IF(B52&lt;'Умови та класичний графік'!$J$14,J53+K53+L53,"")</f>
        <v>215039.95433789972</v>
      </c>
      <c r="H53" s="90"/>
      <c r="I53" s="32">
        <f>IF(B52&lt;'Умови та класичний графік'!$J$14,I52-J53,"")</f>
        <v>9333333.3333333433</v>
      </c>
      <c r="J53" s="32">
        <f>IF(B52&lt;'Умови та класичний графік'!$J$14,J52,"")</f>
        <v>41666.666666666664</v>
      </c>
      <c r="K53" s="32">
        <f>IF(B52&lt;'Умови та класичний графік'!$J$14,((I52*'Умови та класичний графік'!$J$23)/365)*F53,"")</f>
        <v>173373.28767123306</v>
      </c>
      <c r="L53" s="30">
        <f>IF(B52&lt;'Умови та класичний графік'!$J$14,SUM(M53:V53),"")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графік'!$J$14,XIRR($G$37:G53,$C$37:C53,0),"")</f>
        <v>-0.56809363291196513</v>
      </c>
      <c r="X53" s="42"/>
      <c r="Y53" s="35"/>
    </row>
    <row r="54" spans="2:25" x14ac:dyDescent="0.2">
      <c r="B54" s="25">
        <v>17</v>
      </c>
      <c r="C54" s="36">
        <f>IF(B53&lt;'Умови та класичний графік'!$J$14,EDATE(C53,1),"")</f>
        <v>45809</v>
      </c>
      <c r="D54" s="36">
        <f>IF(B53&lt;'Умови та класичний графік'!$J$14,C53,"")</f>
        <v>45778</v>
      </c>
      <c r="E54" s="26">
        <f>IF(B53&lt;'Умови та класичний графік'!$J$14,C54-1,"")</f>
        <v>45808</v>
      </c>
      <c r="F54" s="37">
        <f>IF(B53&lt;'Умови та класичний графік'!$J$14,E54-D54+1,"")</f>
        <v>31</v>
      </c>
      <c r="G54" s="89">
        <f>IF(B53&lt;'Умови та класичний графік'!$J$14,J54+K54+L54,"")</f>
        <v>220022.8310502285</v>
      </c>
      <c r="H54" s="90"/>
      <c r="I54" s="32">
        <f>IF(B53&lt;'Умови та класичний графік'!$J$14,I53-J54,"")</f>
        <v>9291666.6666666772</v>
      </c>
      <c r="J54" s="32">
        <f>IF(B53&lt;'Умови та класичний графік'!$J$14,J53,"")</f>
        <v>41666.666666666664</v>
      </c>
      <c r="K54" s="32">
        <f>IF(B53&lt;'Умови та класичний графік'!$J$14,((I53*'Умови та класичний графік'!$J$23)/365)*F54,"")</f>
        <v>178356.16438356185</v>
      </c>
      <c r="L54" s="30">
        <f>IF(B53&lt;'Умови та класичний графік'!$J$14,SUM(M54:V54),"")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графік'!$J$14,XIRR($G$37:G54,$C$37:C54,0),"")</f>
        <v>-0.52294010896496468</v>
      </c>
      <c r="X54" s="42"/>
      <c r="Y54" s="35"/>
    </row>
    <row r="55" spans="2:25" x14ac:dyDescent="0.2">
      <c r="B55" s="25">
        <v>18</v>
      </c>
      <c r="C55" s="36">
        <f>IF(B54&lt;'Умови та класичний графік'!$J$14,EDATE(C54,1),"")</f>
        <v>45839</v>
      </c>
      <c r="D55" s="36">
        <f>IF(B54&lt;'Умови та класичний графік'!$J$14,C54,"")</f>
        <v>45809</v>
      </c>
      <c r="E55" s="26">
        <f>IF(B54&lt;'Умови та класичний графік'!$J$14,C55-1,"")</f>
        <v>45838</v>
      </c>
      <c r="F55" s="37">
        <f>IF(B54&lt;'Умови та класичний графік'!$J$14,E55-D55+1,"")</f>
        <v>30</v>
      </c>
      <c r="G55" s="89">
        <f>IF(B54&lt;'Умови та класичний графік'!$J$14,J55+K55+L55,"")</f>
        <v>213498.85844748878</v>
      </c>
      <c r="H55" s="90"/>
      <c r="I55" s="32">
        <f>IF(B54&lt;'Умови та класичний графік'!$J$14,I54-J55,"")</f>
        <v>9250000.0000000112</v>
      </c>
      <c r="J55" s="32">
        <f>IF(B54&lt;'Умови та класичний графік'!$J$14,J54,"")</f>
        <v>41666.666666666664</v>
      </c>
      <c r="K55" s="32">
        <f>IF(B54&lt;'Умови та класичний графік'!$J$14,((I54*'Умови та класичний графік'!$J$23)/365)*F55,"")</f>
        <v>171832.19178082212</v>
      </c>
      <c r="L55" s="30">
        <f>IF(B54&lt;'Умови та класичний графік'!$J$14,SUM(M55:V55),"")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графік'!$J$14,XIRR($G$37:G55,$C$37:C55,0),"")</f>
        <v>-0.47997810668162999</v>
      </c>
      <c r="X55" s="42"/>
      <c r="Y55" s="35"/>
    </row>
    <row r="56" spans="2:25" x14ac:dyDescent="0.2">
      <c r="B56" s="25">
        <v>19</v>
      </c>
      <c r="C56" s="36">
        <f>IF(B55&lt;'Умови та класичний графік'!$J$14,EDATE(C55,1),"")</f>
        <v>45870</v>
      </c>
      <c r="D56" s="36">
        <f>IF(B55&lt;'Умови та класичний графік'!$J$14,C55,"")</f>
        <v>45839</v>
      </c>
      <c r="E56" s="26">
        <f>IF(B55&lt;'Умови та класичний графік'!$J$14,C56-1,"")</f>
        <v>45869</v>
      </c>
      <c r="F56" s="37">
        <f>IF(B55&lt;'Умови та класичний графік'!$J$14,E56-D56+1,"")</f>
        <v>31</v>
      </c>
      <c r="G56" s="89">
        <f>IF(B55&lt;'Умови та класичний графік'!$J$14,J56+K56+L56,"")</f>
        <v>218430.36529680388</v>
      </c>
      <c r="H56" s="90"/>
      <c r="I56" s="32">
        <f>IF(B55&lt;'Умови та класичний графік'!$J$14,I55-J56,"")</f>
        <v>9208333.3333333451</v>
      </c>
      <c r="J56" s="32">
        <f>IF(B55&lt;'Умови та класичний графік'!$J$14,J55,"")</f>
        <v>41666.666666666664</v>
      </c>
      <c r="K56" s="32">
        <f>IF(B55&lt;'Умови та класичний графік'!$J$14,((I55*'Умови та класичний графік'!$J$23)/365)*F56,"")</f>
        <v>176763.69863013722</v>
      </c>
      <c r="L56" s="30">
        <f>IF(B55&lt;'Умови та класичний графік'!$J$14,SUM(M56:V56),"")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графік'!$J$14,XIRR($G$37:G56,$C$37:C56,0),"")</f>
        <v>-0.43716048030532906</v>
      </c>
      <c r="X56" s="42"/>
      <c r="Y56" s="35"/>
    </row>
    <row r="57" spans="2:25" x14ac:dyDescent="0.2">
      <c r="B57" s="25">
        <v>20</v>
      </c>
      <c r="C57" s="36">
        <f>IF(B56&lt;'Умови та класичний графік'!$J$14,EDATE(C56,1),"")</f>
        <v>45901</v>
      </c>
      <c r="D57" s="36">
        <f>IF(B56&lt;'Умови та класичний графік'!$J$14,C56,"")</f>
        <v>45870</v>
      </c>
      <c r="E57" s="26">
        <f>IF(B56&lt;'Умови та класичний графік'!$J$14,C57-1,"")</f>
        <v>45900</v>
      </c>
      <c r="F57" s="37">
        <f>IF(B56&lt;'Умови та класичний графік'!$J$14,E57-D57+1,"")</f>
        <v>31</v>
      </c>
      <c r="G57" s="89">
        <f>IF(B56&lt;'Умови та класичний графік'!$J$14,J57+K57+L57,"")</f>
        <v>217634.13242009154</v>
      </c>
      <c r="H57" s="90"/>
      <c r="I57" s="32">
        <f>IF(B56&lt;'Умови та класичний графік'!$J$14,I56-J57,"")</f>
        <v>9166666.6666666791</v>
      </c>
      <c r="J57" s="32">
        <f>IF(B56&lt;'Умови та класичний графік'!$J$14,J56,"")</f>
        <v>41666.666666666664</v>
      </c>
      <c r="K57" s="32">
        <f>IF(B56&lt;'Умови та класичний графік'!$J$14,((I56*'Умови та класичний графік'!$J$23)/365)*F57,"")</f>
        <v>175967.46575342488</v>
      </c>
      <c r="L57" s="30">
        <f>IF(B56&lt;'Умови та класичний графік'!$J$14,SUM(M57:V57),"")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графік'!$J$14,XIRR($G$37:G57,$C$37:C57,0),"")</f>
        <v>-0.39592988623149694</v>
      </c>
      <c r="X57" s="42"/>
      <c r="Y57" s="35"/>
    </row>
    <row r="58" spans="2:25" x14ac:dyDescent="0.2">
      <c r="B58" s="25">
        <v>21</v>
      </c>
      <c r="C58" s="36">
        <f>IF(B57&lt;'Умови та класичний графік'!$J$14,EDATE(C57,1),"")</f>
        <v>45931</v>
      </c>
      <c r="D58" s="36">
        <f>IF(B57&lt;'Умови та класичний графік'!$J$14,C57,"")</f>
        <v>45901</v>
      </c>
      <c r="E58" s="26">
        <f>IF(B57&lt;'Умови та класичний графік'!$J$14,C58-1,"")</f>
        <v>45930</v>
      </c>
      <c r="F58" s="37">
        <f>IF(B57&lt;'Умови та класичний графік'!$J$14,E58-D58+1,"")</f>
        <v>30</v>
      </c>
      <c r="G58" s="89">
        <f>IF(B57&lt;'Умови та класичний графік'!$J$14,J58+K58+L58,"")</f>
        <v>211187.21461187236</v>
      </c>
      <c r="H58" s="90"/>
      <c r="I58" s="32">
        <f>IF(B57&lt;'Умови та класичний графік'!$J$14,I57-J58,"")</f>
        <v>9125000.000000013</v>
      </c>
      <c r="J58" s="32">
        <f>IF(B57&lt;'Умови та класичний графік'!$J$14,J57,"")</f>
        <v>41666.666666666664</v>
      </c>
      <c r="K58" s="32">
        <f>IF(B57&lt;'Умови та класичний графік'!$J$14,((I57*'Умови та класичний графік'!$J$23)/365)*F58,"")</f>
        <v>169520.5479452057</v>
      </c>
      <c r="L58" s="30">
        <f>IF(B57&lt;'Умови та класичний графік'!$J$14,SUM(M58:V58),"")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графік'!$J$14,XIRR($G$37:G58,$C$37:C58,0),"")</f>
        <v>-0.35747126784987748</v>
      </c>
      <c r="X58" s="42"/>
      <c r="Y58" s="35"/>
    </row>
    <row r="59" spans="2:25" x14ac:dyDescent="0.2">
      <c r="B59" s="25">
        <v>22</v>
      </c>
      <c r="C59" s="36">
        <f>IF(B58&lt;'Умови та класичний графік'!$J$14,EDATE(C58,1),"")</f>
        <v>45962</v>
      </c>
      <c r="D59" s="36">
        <f>IF(B58&lt;'Умови та класичний графік'!$J$14,C58,"")</f>
        <v>45931</v>
      </c>
      <c r="E59" s="26">
        <f>IF(B58&lt;'Умови та класичний графік'!$J$14,C59-1,"")</f>
        <v>45961</v>
      </c>
      <c r="F59" s="37">
        <f>IF(B58&lt;'Умови та класичний графік'!$J$14,E59-D59+1,"")</f>
        <v>31</v>
      </c>
      <c r="G59" s="89">
        <f>IF(B58&lt;'Умови та класичний графік'!$J$14,J59+K59+L59,"")</f>
        <v>216041.66666666692</v>
      </c>
      <c r="H59" s="90"/>
      <c r="I59" s="32">
        <f>IF(B58&lt;'Умови та класичний графік'!$J$14,I58-J59,"")</f>
        <v>9083333.333333347</v>
      </c>
      <c r="J59" s="32">
        <f>IF(B58&lt;'Умови та класичний графік'!$J$14,J58,"")</f>
        <v>41666.666666666664</v>
      </c>
      <c r="K59" s="32">
        <f>IF(B58&lt;'Умови та класичний графік'!$J$14,((I58*'Умови та класичний графік'!$J$23)/365)*F59,"")</f>
        <v>174375.00000000026</v>
      </c>
      <c r="L59" s="30">
        <f>IF(B58&lt;'Умови та класичний графік'!$J$14,SUM(M59:V59),"")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графік'!$J$14,XIRR($G$37:G59,$C$37:C59,0),"")</f>
        <v>-0.31975433244861651</v>
      </c>
      <c r="X59" s="42"/>
      <c r="Y59" s="35"/>
    </row>
    <row r="60" spans="2:25" x14ac:dyDescent="0.2">
      <c r="B60" s="25">
        <v>23</v>
      </c>
      <c r="C60" s="36">
        <f>IF(B59&lt;'Умови та класичний графік'!$J$14,EDATE(C59,1),"")</f>
        <v>45992</v>
      </c>
      <c r="D60" s="36">
        <f>IF(B59&lt;'Умови та класичний графік'!$J$14,C59,"")</f>
        <v>45962</v>
      </c>
      <c r="E60" s="26">
        <f>IF(B59&lt;'Умови та класичний графік'!$J$14,C60-1,"")</f>
        <v>45991</v>
      </c>
      <c r="F60" s="37">
        <f>IF(B59&lt;'Умови та класичний графік'!$J$14,E60-D60+1,"")</f>
        <v>30</v>
      </c>
      <c r="G60" s="89">
        <f>IF(B59&lt;'Умови та класичний графік'!$J$14,J60+K60+L60,"")</f>
        <v>209646.11872146142</v>
      </c>
      <c r="H60" s="90"/>
      <c r="I60" s="32">
        <f>IF(B59&lt;'Умови та класичний графік'!$J$14,I59-J60,"")</f>
        <v>9041666.6666666809</v>
      </c>
      <c r="J60" s="32">
        <f>IF(B59&lt;'Умови та класичний графік'!$J$14,J59,"")</f>
        <v>41666.666666666664</v>
      </c>
      <c r="K60" s="32">
        <f>IF(B59&lt;'Умови та класичний графік'!$J$14,((I59*'Умови та класичний графік'!$J$23)/365)*F60,"")</f>
        <v>167979.45205479476</v>
      </c>
      <c r="L60" s="30">
        <f>IF(B59&lt;'Умови та класичний графік'!$J$14,SUM(M60:V60),"")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графік'!$J$14,XIRR($G$37:G60,$C$37:C60,0),"")</f>
        <v>-0.28481360462702809</v>
      </c>
      <c r="X60" s="42"/>
      <c r="Y60" s="35"/>
    </row>
    <row r="61" spans="2:25" x14ac:dyDescent="0.2">
      <c r="B61" s="25">
        <v>24</v>
      </c>
      <c r="C61" s="36">
        <f>IF(B60&lt;'Умови та класичний графік'!$J$14,EDATE(C60,1),"")</f>
        <v>46023</v>
      </c>
      <c r="D61" s="36">
        <f>IF(B60&lt;'Умови та класичний графік'!$J$14,C60,"")</f>
        <v>45992</v>
      </c>
      <c r="E61" s="26">
        <f>IF(B60&lt;'Умови та класичний графік'!$J$14,C61-1,"")</f>
        <v>46022</v>
      </c>
      <c r="F61" s="37">
        <f>IF(B60&lt;'Умови та класичний графік'!$J$14,E61-D61+1,"")</f>
        <v>31</v>
      </c>
      <c r="G61" s="89">
        <f>IF(B60&lt;'Умови та класичний графік'!$J$14,J61+K61+L61,"")</f>
        <v>667449.2009132423</v>
      </c>
      <c r="H61" s="90"/>
      <c r="I61" s="32">
        <f>IF(B60&lt;'Умови та класичний графік'!$J$14,I60-J61,"")</f>
        <v>9000000.0000000149</v>
      </c>
      <c r="J61" s="32">
        <f>IF(B60&lt;'Умови та класичний графік'!$J$14,J60,"")</f>
        <v>41666.666666666664</v>
      </c>
      <c r="K61" s="32">
        <f>IF(B60&lt;'Умови та класичний графік'!$J$14,((I60*'Умови та класичний графік'!$J$23)/365)*F61,"")</f>
        <v>172782.53424657561</v>
      </c>
      <c r="L61" s="30">
        <f>IF(B60&lt;'Умови та класичний графік'!$J$14,SUM(M61:V61),"")</f>
        <v>453000.00000000006</v>
      </c>
      <c r="M61" s="38"/>
      <c r="N61" s="39"/>
      <c r="O61" s="39"/>
      <c r="P61" s="32"/>
      <c r="Q61" s="40"/>
      <c r="R61" s="40"/>
      <c r="S61" s="41"/>
      <c r="T61" s="41"/>
      <c r="U61" s="33">
        <f>IF(B60&lt;'Умови та класичний графік'!$J$14,('Умови та класичний графік'!$J$15*$N$21)+(I61*$N$22),"")</f>
        <v>453000.00000000006</v>
      </c>
      <c r="V61" s="41"/>
      <c r="W61" s="43">
        <f>IF(B60&lt;'Умови та класичний графік'!$J$14,XIRR($G$37:G61,$C$37:C61,0),"")</f>
        <v>-0.18593918625157324</v>
      </c>
      <c r="X61" s="42"/>
      <c r="Y61" s="35"/>
    </row>
    <row r="62" spans="2:25" x14ac:dyDescent="0.2">
      <c r="B62" s="25">
        <v>25</v>
      </c>
      <c r="C62" s="36">
        <f>IF(B61&lt;'Умови та класичний графік'!$J$14,EDATE(C61,1),"")</f>
        <v>46054</v>
      </c>
      <c r="D62" s="36">
        <f>IF(B61&lt;'Умови та класичний графік'!$J$14,C61,"")</f>
        <v>46023</v>
      </c>
      <c r="E62" s="26">
        <f>IF(B61&lt;'Умови та класичний графік'!$J$14,C62-1,"")</f>
        <v>46053</v>
      </c>
      <c r="F62" s="37">
        <f>IF(B61&lt;'Умови та класичний графік'!$J$14,E62-D62+1,"")</f>
        <v>31</v>
      </c>
      <c r="G62" s="89">
        <f>IF(B61&lt;'Умови та класичний графік'!$J$14,J62+K62+L62,"")</f>
        <v>213652.96803652999</v>
      </c>
      <c r="H62" s="90"/>
      <c r="I62" s="32">
        <f>IF(B61&lt;'Умови та класичний графік'!$J$14,I61-J62,"")</f>
        <v>8958333.3333333489</v>
      </c>
      <c r="J62" s="32">
        <f>IF(B61&lt;'Умови та класичний графік'!$J$14,J61,"")</f>
        <v>41666.666666666664</v>
      </c>
      <c r="K62" s="32">
        <f>IF(B61&lt;'Умови та класичний графік'!$J$14,((I61*'Умови та класичний графік'!$J$23)/365)*F62,"")</f>
        <v>171986.30136986333</v>
      </c>
      <c r="L62" s="30">
        <f>IF(B61&lt;'Умови та класичний графік'!$J$14,SUM(M62:V62),"")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графік'!$J$14,XIRR($G$37:G62,$C$37:C62,0),"")</f>
        <v>-0.15758917611818762</v>
      </c>
      <c r="X62" s="42"/>
      <c r="Y62" s="35"/>
    </row>
    <row r="63" spans="2:25" x14ac:dyDescent="0.2">
      <c r="B63" s="25">
        <v>26</v>
      </c>
      <c r="C63" s="36">
        <f>IF(B62&lt;'Умови та класичний графік'!$J$14,EDATE(C62,1),"")</f>
        <v>46082</v>
      </c>
      <c r="D63" s="36">
        <f>IF(B62&lt;'Умови та класичний графік'!$J$14,C62,"")</f>
        <v>46054</v>
      </c>
      <c r="E63" s="26">
        <f>IF(B62&lt;'Умови та класичний графік'!$J$14,C63-1,"")</f>
        <v>46081</v>
      </c>
      <c r="F63" s="37">
        <f>IF(B62&lt;'Умови та класичний графік'!$J$14,E63-D63+1,"")</f>
        <v>28</v>
      </c>
      <c r="G63" s="89">
        <f>IF(B62&lt;'Умови та класичний графік'!$J$14,J63+K63+L63,"")</f>
        <v>196289.95433789981</v>
      </c>
      <c r="H63" s="90"/>
      <c r="I63" s="32">
        <f>IF(B62&lt;'Умови та класичний графік'!$J$14,I62-J63,"")</f>
        <v>8916666.6666666828</v>
      </c>
      <c r="J63" s="32">
        <f>IF(B62&lt;'Умови та класичний графік'!$J$14,J62,"")</f>
        <v>41666.666666666664</v>
      </c>
      <c r="K63" s="32">
        <f>IF(B62&lt;'Умови та класичний графік'!$J$14,((I62*'Умови та класичний графік'!$J$23)/365)*F63,"")</f>
        <v>154623.28767123315</v>
      </c>
      <c r="L63" s="30">
        <f>IF(B62&lt;'Умови та класичний графік'!$J$14,SUM(M63:V63),"")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графік'!$J$14,XIRR($G$37:G63,$C$37:C63,0),"")</f>
        <v>-0.13261889435987922</v>
      </c>
      <c r="X63" s="42"/>
      <c r="Y63" s="35"/>
    </row>
    <row r="64" spans="2:25" x14ac:dyDescent="0.2">
      <c r="B64" s="25">
        <v>27</v>
      </c>
      <c r="C64" s="36">
        <f>IF(B63&lt;'Умови та класичний графік'!$J$14,EDATE(C63,1),"")</f>
        <v>46113</v>
      </c>
      <c r="D64" s="36">
        <f>IF(B63&lt;'Умови та класичний графік'!$J$14,C63,"")</f>
        <v>46082</v>
      </c>
      <c r="E64" s="26">
        <f>IF(B63&lt;'Умови та класичний графік'!$J$14,C64-1,"")</f>
        <v>46112</v>
      </c>
      <c r="F64" s="37">
        <f>IF(B63&lt;'Умови та класичний графік'!$J$14,E64-D64+1,"")</f>
        <v>31</v>
      </c>
      <c r="G64" s="89">
        <f>IF(B63&lt;'Умови та класичний графік'!$J$14,J64+K64+L64,"")</f>
        <v>212060.50228310531</v>
      </c>
      <c r="H64" s="90"/>
      <c r="I64" s="32">
        <f>IF(B63&lt;'Умови та класичний графік'!$J$14,I63-J64,"")</f>
        <v>8875000.0000000168</v>
      </c>
      <c r="J64" s="32">
        <f>IF(B63&lt;'Умови та класичний графік'!$J$14,J63,"")</f>
        <v>41666.666666666664</v>
      </c>
      <c r="K64" s="32">
        <f>IF(B63&lt;'Умови та класичний графік'!$J$14,((I63*'Умови та класичний графік'!$J$23)/365)*F64,"")</f>
        <v>170393.83561643865</v>
      </c>
      <c r="L64" s="30">
        <f>IF(B63&lt;'Умови та класичний графік'!$J$14,SUM(M64:V64),"")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графік'!$J$14,XIRR($G$37:G64,$C$37:C64,0),"")</f>
        <v>-0.10677691083941609</v>
      </c>
      <c r="X64" s="42"/>
      <c r="Y64" s="35"/>
    </row>
    <row r="65" spans="2:25" x14ac:dyDescent="0.2">
      <c r="B65" s="25">
        <v>28</v>
      </c>
      <c r="C65" s="36">
        <f>IF(B64&lt;'Умови та класичний графік'!$J$14,EDATE(C64,1),"")</f>
        <v>46143</v>
      </c>
      <c r="D65" s="36">
        <f>IF(B64&lt;'Умови та класичний графік'!$J$14,C64,"")</f>
        <v>46113</v>
      </c>
      <c r="E65" s="26">
        <f>IF(B64&lt;'Умови та класичний графік'!$J$14,C65-1,"")</f>
        <v>46142</v>
      </c>
      <c r="F65" s="37">
        <f>IF(B64&lt;'Умови та класичний графік'!$J$14,E65-D65+1,"")</f>
        <v>30</v>
      </c>
      <c r="G65" s="89">
        <f>IF(B64&lt;'Умови та класичний графік'!$J$14,J65+K65+L65,"")</f>
        <v>205793.37899543406</v>
      </c>
      <c r="H65" s="90"/>
      <c r="I65" s="32">
        <f>IF(B64&lt;'Умови та класичний графік'!$J$14,I64-J65,"")</f>
        <v>8833333.3333333507</v>
      </c>
      <c r="J65" s="32">
        <f>IF(B64&lt;'Умови та класичний графік'!$J$14,J64,"")</f>
        <v>41666.666666666664</v>
      </c>
      <c r="K65" s="32">
        <f>IF(B64&lt;'Умови та класичний графік'!$J$14,((I64*'Умови та класичний графік'!$J$23)/365)*F65,"")</f>
        <v>164126.7123287674</v>
      </c>
      <c r="L65" s="30">
        <f>IF(B64&lt;'Умови та класичний графік'!$J$14,SUM(M65:V65),"")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графік'!$J$14,XIRR($G$37:G65,$C$37:C65,0),"")</f>
        <v>-8.2841034995280227E-2</v>
      </c>
      <c r="X65" s="42"/>
      <c r="Y65" s="35"/>
    </row>
    <row r="66" spans="2:25" x14ac:dyDescent="0.2">
      <c r="B66" s="25">
        <v>29</v>
      </c>
      <c r="C66" s="36">
        <f>IF(B65&lt;'Умови та класичний графік'!$J$14,EDATE(C65,1),"")</f>
        <v>46174</v>
      </c>
      <c r="D66" s="36">
        <f>IF(B65&lt;'Умови та класичний графік'!$J$14,C65,"")</f>
        <v>46143</v>
      </c>
      <c r="E66" s="26">
        <f>IF(B65&lt;'Умови та класичний графік'!$J$14,C66-1,"")</f>
        <v>46173</v>
      </c>
      <c r="F66" s="37">
        <f>IF(B65&lt;'Умови та класичний графік'!$J$14,E66-D66+1,"")</f>
        <v>31</v>
      </c>
      <c r="G66" s="89">
        <f>IF(B65&lt;'Умови та класичний графік'!$J$14,J66+K66+L66,"")</f>
        <v>210468.03652968068</v>
      </c>
      <c r="H66" s="90"/>
      <c r="I66" s="32">
        <f>IF(B65&lt;'Умови та класичний графік'!$J$14,I65-J66,"")</f>
        <v>8791666.6666666847</v>
      </c>
      <c r="J66" s="32">
        <f>IF(B65&lt;'Умови та класичний графік'!$J$14,J65,"")</f>
        <v>41666.666666666664</v>
      </c>
      <c r="K66" s="32">
        <f>IF(B65&lt;'Умови та класичний графік'!$J$14,((I65*'Умови та класичний графік'!$J$23)/365)*F66,"")</f>
        <v>168801.36986301403</v>
      </c>
      <c r="L66" s="30">
        <f>IF(B65&lt;'Умови та класичний графік'!$J$14,SUM(M66:V66),"")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графік'!$J$14,XIRR($G$37:G66,$C$37:C66,0),"")</f>
        <v>-5.9502026644609865E-2</v>
      </c>
      <c r="X66" s="42"/>
      <c r="Y66" s="35"/>
    </row>
    <row r="67" spans="2:25" x14ac:dyDescent="0.2">
      <c r="B67" s="25">
        <v>30</v>
      </c>
      <c r="C67" s="36">
        <f>IF(B66&lt;'Умови та класичний графік'!$J$14,EDATE(C66,1),"")</f>
        <v>46204</v>
      </c>
      <c r="D67" s="36">
        <f>IF(B66&lt;'Умови та класичний графік'!$J$14,C66,"")</f>
        <v>46174</v>
      </c>
      <c r="E67" s="26">
        <f>IF(B66&lt;'Умови та класичний графік'!$J$14,C67-1,"")</f>
        <v>46203</v>
      </c>
      <c r="F67" s="37">
        <f>IF(B66&lt;'Умови та класичний графік'!$J$14,E67-D67+1,"")</f>
        <v>30</v>
      </c>
      <c r="G67" s="89">
        <f>IF(B66&lt;'Умови та класичний графік'!$J$14,J67+K67+L67,"")</f>
        <v>204252.28310502318</v>
      </c>
      <c r="H67" s="90"/>
      <c r="I67" s="32">
        <f>IF(B66&lt;'Умови та класичний графік'!$J$14,I66-J67,"")</f>
        <v>8750000.0000000186</v>
      </c>
      <c r="J67" s="32">
        <f>IF(B66&lt;'Умови та класичний графік'!$J$14,J66,"")</f>
        <v>41666.666666666664</v>
      </c>
      <c r="K67" s="32">
        <f>IF(B66&lt;'Умови та класичний графік'!$J$14,((I66*'Умови та класичний графік'!$J$23)/365)*F67,"")</f>
        <v>162585.61643835652</v>
      </c>
      <c r="L67" s="30">
        <f>IF(B66&lt;'Умови та класичний графік'!$J$14,SUM(M67:V67),"")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графік'!$J$14,XIRR($G$37:G67,$C$37:C67,0),"")</f>
        <v>-3.7934726290889093E-2</v>
      </c>
      <c r="X67" s="42"/>
      <c r="Y67" s="35"/>
    </row>
    <row r="68" spans="2:25" x14ac:dyDescent="0.2">
      <c r="B68" s="25">
        <v>31</v>
      </c>
      <c r="C68" s="36">
        <f>IF(B67&lt;'Умови та класичний графік'!$J$14,EDATE(C67,1),"")</f>
        <v>46235</v>
      </c>
      <c r="D68" s="36">
        <f>IF(B67&lt;'Умови та класичний графік'!$J$14,C67,"")</f>
        <v>46204</v>
      </c>
      <c r="E68" s="26">
        <f>IF(B67&lt;'Умови та класичний графік'!$J$14,C68-1,"")</f>
        <v>46234</v>
      </c>
      <c r="F68" s="37">
        <f>IF(B67&lt;'Умови та класичний графік'!$J$14,E68-D68+1,"")</f>
        <v>31</v>
      </c>
      <c r="G68" s="89">
        <f>IF(B67&lt;'Умови та класичний графік'!$J$14,J68+K68+L68,"")</f>
        <v>208875.57077625606</v>
      </c>
      <c r="H68" s="90"/>
      <c r="I68" s="32">
        <f>IF(B67&lt;'Умови та класичний графік'!$J$14,I67-J68,"")</f>
        <v>8708333.3333333526</v>
      </c>
      <c r="J68" s="32">
        <f>IF(B67&lt;'Умови та класичний графік'!$J$14,J67,"")</f>
        <v>41666.666666666664</v>
      </c>
      <c r="K68" s="32">
        <f>IF(B67&lt;'Умови та класичний графік'!$J$14,((I67*'Умови та класичний графік'!$J$23)/365)*F68,"")</f>
        <v>167208.90410958941</v>
      </c>
      <c r="L68" s="30">
        <f>IF(B67&lt;'Умови та класичний графік'!$J$14,SUM(M68:V68),"")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графік'!$J$14,XIRR($G$37:G68,$C$37:C68,0),"")</f>
        <v>-1.6946449468545621E-2</v>
      </c>
      <c r="X68" s="42"/>
      <c r="Y68" s="35"/>
    </row>
    <row r="69" spans="2:25" x14ac:dyDescent="0.2">
      <c r="B69" s="25">
        <v>32</v>
      </c>
      <c r="C69" s="36">
        <f>IF(B68&lt;'Умови та класичний графік'!$J$14,EDATE(C68,1),"")</f>
        <v>46266</v>
      </c>
      <c r="D69" s="36">
        <f>IF(B68&lt;'Умови та класичний графік'!$J$14,C68,"")</f>
        <v>46235</v>
      </c>
      <c r="E69" s="26">
        <f>IF(B68&lt;'Умови та класичний графік'!$J$14,C69-1,"")</f>
        <v>46265</v>
      </c>
      <c r="F69" s="37">
        <f>IF(B68&lt;'Умови та класичний графік'!$J$14,E69-D69+1,"")</f>
        <v>31</v>
      </c>
      <c r="G69" s="89">
        <f>IF(B68&lt;'Умови та класичний графік'!$J$14,J69+K69+L69,"")</f>
        <v>208079.33789954375</v>
      </c>
      <c r="H69" s="90"/>
      <c r="I69" s="32">
        <f>IF(B68&lt;'Умови та класичний графік'!$J$14,I68-J69,"")</f>
        <v>8666666.6666666865</v>
      </c>
      <c r="J69" s="32">
        <f>IF(B68&lt;'Умови та класичний графік'!$J$14,J68,"")</f>
        <v>41666.666666666664</v>
      </c>
      <c r="K69" s="32">
        <f>IF(B68&lt;'Умови та класичний графік'!$J$14,((I68*'Умови та класичний графік'!$J$23)/365)*F69,"")</f>
        <v>166412.6712328771</v>
      </c>
      <c r="L69" s="30">
        <f>IF(B68&lt;'Умови та класичний графік'!$J$14,SUM(M69:V69),"")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графік'!$J$14,XIRR($G$37:G69,$C$37:C69,0),"")</f>
        <v>2.9241748046875005E-3</v>
      </c>
      <c r="X69" s="42"/>
      <c r="Y69" s="35"/>
    </row>
    <row r="70" spans="2:25" x14ac:dyDescent="0.2">
      <c r="B70" s="25">
        <v>33</v>
      </c>
      <c r="C70" s="36">
        <f>IF(B69&lt;'Умови та класичний графік'!$J$14,EDATE(C69,1),"")</f>
        <v>46296</v>
      </c>
      <c r="D70" s="36">
        <f>IF(B69&lt;'Умови та класичний графік'!$J$14,C69,"")</f>
        <v>46266</v>
      </c>
      <c r="E70" s="26">
        <f>IF(B69&lt;'Умови та класичний графік'!$J$14,C70-1,"")</f>
        <v>46295</v>
      </c>
      <c r="F70" s="37">
        <f>IF(B69&lt;'Умови та класичний графік'!$J$14,E70-D70+1,"")</f>
        <v>30</v>
      </c>
      <c r="G70" s="89">
        <f>IF(B69&lt;'Умови та класичний графік'!$J$14,J70+K70+L70,"")</f>
        <v>201940.63926940676</v>
      </c>
      <c r="H70" s="90"/>
      <c r="I70" s="32">
        <f>IF(B69&lt;'Умови та класичний графік'!$J$14,I69-J70,"")</f>
        <v>8625000.0000000205</v>
      </c>
      <c r="J70" s="32">
        <f>IF(B69&lt;'Умови та класичний графік'!$J$14,J69,"")</f>
        <v>41666.666666666664</v>
      </c>
      <c r="K70" s="32">
        <f>IF(B69&lt;'Умови та класичний графік'!$J$14,((I69*'Умови та класичний графік'!$J$23)/365)*F70,"")</f>
        <v>160273.9726027401</v>
      </c>
      <c r="L70" s="30">
        <f>IF(B69&lt;'Умови та класичний графік'!$J$14,SUM(M70:V70),"")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графік'!$J$14,XIRR($G$37:G70,$C$37:C70,0),"")</f>
        <v>2.1256938476562501E-2</v>
      </c>
      <c r="X70" s="42"/>
      <c r="Y70" s="35"/>
    </row>
    <row r="71" spans="2:25" x14ac:dyDescent="0.2">
      <c r="B71" s="25">
        <v>34</v>
      </c>
      <c r="C71" s="36">
        <f>IF(B70&lt;'Умови та класичний графік'!$J$14,EDATE(C70,1),"")</f>
        <v>46327</v>
      </c>
      <c r="D71" s="36">
        <f>IF(B70&lt;'Умови та класичний графік'!$J$14,C70,"")</f>
        <v>46296</v>
      </c>
      <c r="E71" s="26">
        <f>IF(B70&lt;'Умови та класичний графік'!$J$14,C71-1,"")</f>
        <v>46326</v>
      </c>
      <c r="F71" s="37">
        <f>IF(B70&lt;'Умови та класичний графік'!$J$14,E71-D71+1,"")</f>
        <v>31</v>
      </c>
      <c r="G71" s="89">
        <f>IF(B70&lt;'Умови та класичний графік'!$J$14,J71+K71+L71,"")</f>
        <v>206486.87214611913</v>
      </c>
      <c r="H71" s="90"/>
      <c r="I71" s="32">
        <f>IF(B70&lt;'Умови та класичний графік'!$J$14,I70-J71,"")</f>
        <v>8583333.3333333544</v>
      </c>
      <c r="J71" s="32">
        <f>IF(B70&lt;'Умови та класичний графік'!$J$14,J70,"")</f>
        <v>41666.666666666664</v>
      </c>
      <c r="K71" s="32">
        <f>IF(B70&lt;'Умови та класичний графік'!$J$14,((I70*'Умови та класичний графік'!$J$23)/365)*F71,"")</f>
        <v>164820.20547945247</v>
      </c>
      <c r="L71" s="30">
        <f>IF(B70&lt;'Умови та класичний графік'!$J$14,SUM(M71:V71),"")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графік'!$J$14,XIRR($G$37:G71,$C$37:C71,0),"")</f>
        <v>3.9073012695312506E-2</v>
      </c>
      <c r="X71" s="42"/>
      <c r="Y71" s="35"/>
    </row>
    <row r="72" spans="2:25" x14ac:dyDescent="0.2">
      <c r="B72" s="25">
        <v>35</v>
      </c>
      <c r="C72" s="36">
        <f>IF(B71&lt;'Умови та класичний графік'!$J$14,EDATE(C71,1),"")</f>
        <v>46357</v>
      </c>
      <c r="D72" s="36">
        <f>IF(B71&lt;'Умови та класичний графік'!$J$14,C71,"")</f>
        <v>46327</v>
      </c>
      <c r="E72" s="26">
        <f>IF(B71&lt;'Умови та класичний графік'!$J$14,C72-1,"")</f>
        <v>46356</v>
      </c>
      <c r="F72" s="37">
        <f>IF(B71&lt;'Умови та класичний графік'!$J$14,E72-D72+1,"")</f>
        <v>30</v>
      </c>
      <c r="G72" s="89">
        <f>IF(B71&lt;'Умови та класичний графік'!$J$14,J72+K72+L72,"")</f>
        <v>200399.54337899582</v>
      </c>
      <c r="H72" s="90"/>
      <c r="I72" s="32">
        <f>IF(B71&lt;'Умови та класичний графік'!$J$14,I71-J72,"")</f>
        <v>8541666.6666666884</v>
      </c>
      <c r="J72" s="32">
        <f>IF(B71&lt;'Умови та класичний графік'!$J$14,J71,"")</f>
        <v>41666.666666666664</v>
      </c>
      <c r="K72" s="32">
        <f>IF(B71&lt;'Умови та класичний графік'!$J$14,((I71*'Умови та класичний графік'!$J$23)/365)*F72,"")</f>
        <v>158732.87671232916</v>
      </c>
      <c r="L72" s="30">
        <f>IF(B71&lt;'Умови та класичний графік'!$J$14,SUM(M72:V72),"")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графік'!$J$14,XIRR($G$37:G72,$C$37:C72,0),"")</f>
        <v>5.5505961914062499E-2</v>
      </c>
      <c r="X72" s="42"/>
      <c r="Y72" s="35"/>
    </row>
    <row r="73" spans="2:25" x14ac:dyDescent="0.2">
      <c r="B73" s="25">
        <v>36</v>
      </c>
      <c r="C73" s="36">
        <f>IF(B72&lt;'Умови та класичний графік'!$J$14,EDATE(C72,1),"")</f>
        <v>46388</v>
      </c>
      <c r="D73" s="36">
        <f>IF(B72&lt;'Умови та класичний графік'!$J$14,C72,"")</f>
        <v>46357</v>
      </c>
      <c r="E73" s="26">
        <f>IF(B72&lt;'Умови та класичний графік'!$J$14,C73-1,"")</f>
        <v>46387</v>
      </c>
      <c r="F73" s="37">
        <f>IF(B72&lt;'Умови та класичний графік'!$J$14,E73-D73+1,"")</f>
        <v>31</v>
      </c>
      <c r="G73" s="89">
        <f>IF(B72&lt;'Умови та класичний графік'!$J$14,J73+K73+L73,"")</f>
        <v>656394.40639269445</v>
      </c>
      <c r="H73" s="90"/>
      <c r="I73" s="32">
        <f>IF(B72&lt;'Умови та класичний графік'!$J$14,I72-J73,"")</f>
        <v>8500000.0000000224</v>
      </c>
      <c r="J73" s="32">
        <f>IF(B72&lt;'Умови та класичний графік'!$J$14,J72,"")</f>
        <v>41666.666666666664</v>
      </c>
      <c r="K73" s="32">
        <f>IF(B72&lt;'Умови та класичний графік'!$J$14,((I72*'Умови та класичний графік'!$J$23)/365)*F73,"")</f>
        <v>163227.73972602779</v>
      </c>
      <c r="L73" s="30">
        <f>IF(B72&lt;'Умови та класичний графік'!$J$14,SUM(M73:V73),"")</f>
        <v>451500.00000000006</v>
      </c>
      <c r="M73" s="38"/>
      <c r="N73" s="39"/>
      <c r="O73" s="39"/>
      <c r="P73" s="32"/>
      <c r="Q73" s="40"/>
      <c r="R73" s="40"/>
      <c r="S73" s="41"/>
      <c r="T73" s="41"/>
      <c r="U73" s="33">
        <f>IF(B72&lt;'Умови та класичний графік'!$J$14,('Умови та класичний графік'!$J$15*$N$21)+(I73*$N$22),"")</f>
        <v>451500.00000000006</v>
      </c>
      <c r="V73" s="41"/>
      <c r="W73" s="43">
        <f>IF(B72&lt;'Умови та класичний графік'!$J$14,XIRR($G$37:G73,$C$37:C73,0),"")</f>
        <v>0.10429295410156252</v>
      </c>
      <c r="X73" s="42"/>
      <c r="Y73" s="35"/>
    </row>
    <row r="74" spans="2:25" x14ac:dyDescent="0.2">
      <c r="B74" s="25">
        <v>37</v>
      </c>
      <c r="C74" s="36">
        <f>IF(B73&lt;'Умови та класичний графік'!$J$14,EDATE(C73,1),"")</f>
        <v>46419</v>
      </c>
      <c r="D74" s="36">
        <f>IF(B73&lt;'Умови та класичний графік'!$J$14,C73,"")</f>
        <v>46388</v>
      </c>
      <c r="E74" s="26">
        <f>IF(B73&lt;'Умови та класичний графік'!$J$14,C74-1,"")</f>
        <v>46418</v>
      </c>
      <c r="F74" s="37">
        <f>IF(B73&lt;'Умови та класичний графік'!$J$14,E74-D74+1,"")</f>
        <v>31</v>
      </c>
      <c r="G74" s="89">
        <f>IF(B73&lt;'Умови та класичний графік'!$J$14,J74+K74+L74,"")</f>
        <v>204098.17351598217</v>
      </c>
      <c r="H74" s="90"/>
      <c r="I74" s="32">
        <f>IF(B73&lt;'Умови та класичний графік'!$J$14,I73-J74,"")</f>
        <v>8458333.3333333563</v>
      </c>
      <c r="J74" s="32">
        <f>IF(B73&lt;'Умови та класичний графік'!$J$14,J73,"")</f>
        <v>41666.666666666664</v>
      </c>
      <c r="K74" s="32">
        <f>IF(B73&lt;'Умови та класичний графік'!$J$14,((I73*'Умови та класичний графік'!$J$23)/365)*F74,"")</f>
        <v>162431.50684931551</v>
      </c>
      <c r="L74" s="30">
        <f>IF(B73&lt;'Умови та класичний графік'!$J$14,SUM(M74:V74),"")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графік'!$J$14,XIRR($G$37:G74,$C$37:C74,0),"")</f>
        <v>0.11808469238281252</v>
      </c>
      <c r="X74" s="42"/>
      <c r="Y74" s="35"/>
    </row>
    <row r="75" spans="2:25" x14ac:dyDescent="0.2">
      <c r="B75" s="25">
        <v>38</v>
      </c>
      <c r="C75" s="36">
        <f>IF(B74&lt;'Умови та класичний графік'!$J$14,EDATE(C74,1),"")</f>
        <v>46447</v>
      </c>
      <c r="D75" s="36">
        <f>IF(B74&lt;'Умови та класичний графік'!$J$14,C74,"")</f>
        <v>46419</v>
      </c>
      <c r="E75" s="26">
        <f>IF(B74&lt;'Умови та класичний графік'!$J$14,C75-1,"")</f>
        <v>46446</v>
      </c>
      <c r="F75" s="37">
        <f>IF(B74&lt;'Умови та класичний графік'!$J$14,E75-D75+1,"")</f>
        <v>28</v>
      </c>
      <c r="G75" s="89">
        <f>IF(B74&lt;'Умови та класичний графік'!$J$14,J75+K75+L75,"")</f>
        <v>187659.81735159855</v>
      </c>
      <c r="H75" s="90"/>
      <c r="I75" s="32">
        <f>IF(B74&lt;'Умови та класичний графік'!$J$14,I74-J75,"")</f>
        <v>8416666.6666666903</v>
      </c>
      <c r="J75" s="32">
        <f>IF(B74&lt;'Умови та класичний графік'!$J$14,J74,"")</f>
        <v>41666.666666666664</v>
      </c>
      <c r="K75" s="32">
        <f>IF(B74&lt;'Умови та класичний графік'!$J$14,((I74*'Умови та класичний графік'!$J$23)/365)*F75,"")</f>
        <v>145993.1506849319</v>
      </c>
      <c r="L75" s="30">
        <f>IF(B74&lt;'Умови та класичний графік'!$J$14,SUM(M75:V75),"")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графік'!$J$14,XIRR($G$37:G75,$C$37:C75,0),"")</f>
        <v>0.13019965332031253</v>
      </c>
      <c r="X75" s="42"/>
      <c r="Y75" s="35"/>
    </row>
    <row r="76" spans="2:25" x14ac:dyDescent="0.2">
      <c r="B76" s="25">
        <v>39</v>
      </c>
      <c r="C76" s="36">
        <f>IF(B75&lt;'Умови та класичний графік'!$J$14,EDATE(C75,1),"")</f>
        <v>46478</v>
      </c>
      <c r="D76" s="36">
        <f>IF(B75&lt;'Умови та класичний графік'!$J$14,C75,"")</f>
        <v>46447</v>
      </c>
      <c r="E76" s="26">
        <f>IF(B75&lt;'Умови та класичний графік'!$J$14,C76-1,"")</f>
        <v>46477</v>
      </c>
      <c r="F76" s="37">
        <f>IF(B75&lt;'Умови та класичний графік'!$J$14,E76-D76+1,"")</f>
        <v>31</v>
      </c>
      <c r="G76" s="89">
        <f>IF(B75&lt;'Умови та класичний графік'!$J$14,J76+K76+L76,"")</f>
        <v>202505.70776255752</v>
      </c>
      <c r="H76" s="90"/>
      <c r="I76" s="32">
        <f>IF(B75&lt;'Умови та класичний графік'!$J$14,I75-J76,"")</f>
        <v>8375000.0000000233</v>
      </c>
      <c r="J76" s="32">
        <f>IF(B75&lt;'Умови та класичний графік'!$J$14,J75,"")</f>
        <v>41666.666666666664</v>
      </c>
      <c r="K76" s="32">
        <f>IF(B75&lt;'Умови та класичний графік'!$J$14,((I75*'Умови та класичний графік'!$J$23)/365)*F76,"")</f>
        <v>160839.04109589086</v>
      </c>
      <c r="L76" s="30">
        <f>IF(B75&lt;'Умови та класичний графік'!$J$14,SUM(M76:V76),"")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графік'!$J$14,XIRR($G$37:G76,$C$37:C76,0),"")</f>
        <v>0.14267661621093752</v>
      </c>
      <c r="X76" s="42"/>
      <c r="Y76" s="35"/>
    </row>
    <row r="77" spans="2:25" x14ac:dyDescent="0.2">
      <c r="B77" s="25">
        <v>40</v>
      </c>
      <c r="C77" s="36">
        <f>IF(B76&lt;'Умови та класичний графік'!$J$14,EDATE(C76,1),"")</f>
        <v>46508</v>
      </c>
      <c r="D77" s="36">
        <f>IF(B76&lt;'Умови та класичний графік'!$J$14,C76,"")</f>
        <v>46478</v>
      </c>
      <c r="E77" s="26">
        <f>IF(B76&lt;'Умови та класичний графік'!$J$14,C77-1,"")</f>
        <v>46507</v>
      </c>
      <c r="F77" s="37">
        <f>IF(B76&lt;'Умови та класичний графік'!$J$14,E77-D77+1,"")</f>
        <v>30</v>
      </c>
      <c r="G77" s="89">
        <f>IF(B76&lt;'Умови та класичний графік'!$J$14,J77+K77+L77,"")</f>
        <v>196546.80365296846</v>
      </c>
      <c r="H77" s="90"/>
      <c r="I77" s="32">
        <f>IF(B76&lt;'Умови та класичний графік'!$J$14,I76-J77,"")</f>
        <v>8333333.3333333563</v>
      </c>
      <c r="J77" s="32">
        <f>IF(B76&lt;'Умови та класичний графік'!$J$14,J76,"")</f>
        <v>41666.666666666664</v>
      </c>
      <c r="K77" s="32">
        <f>IF(B76&lt;'Умови та класичний графік'!$J$14,((I76*'Умови та класичний графік'!$J$23)/365)*F77,"")</f>
        <v>154880.1369863018</v>
      </c>
      <c r="L77" s="30">
        <f>IF(B76&lt;'Умови та класичний графік'!$J$14,SUM(M77:V77),"")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графік'!$J$14,XIRR($G$37:G77,$C$37:C77,0),"")</f>
        <v>0.15422576660156251</v>
      </c>
      <c r="X77" s="42"/>
      <c r="Y77" s="35"/>
    </row>
    <row r="78" spans="2:25" x14ac:dyDescent="0.2">
      <c r="B78" s="25">
        <v>41</v>
      </c>
      <c r="C78" s="36">
        <f>IF(B77&lt;'Умови та класичний графік'!$J$14,EDATE(C77,1),"")</f>
        <v>46539</v>
      </c>
      <c r="D78" s="36">
        <f>IF(B77&lt;'Умови та класичний графік'!$J$14,C77,"")</f>
        <v>46508</v>
      </c>
      <c r="E78" s="26">
        <f>IF(B77&lt;'Умови та класичний графік'!$J$14,C78-1,"")</f>
        <v>46538</v>
      </c>
      <c r="F78" s="37">
        <f>IF(B77&lt;'Умови та класичний графік'!$J$14,E78-D78+1,"")</f>
        <v>31</v>
      </c>
      <c r="G78" s="89">
        <f>IF(B77&lt;'Умови та класичний графік'!$J$14,J78+K78+L78,"")</f>
        <v>200913.24200913284</v>
      </c>
      <c r="H78" s="90"/>
      <c r="I78" s="32">
        <f>IF(B77&lt;'Умови та класичний графік'!$J$14,I77-J78,"")</f>
        <v>8291666.6666666893</v>
      </c>
      <c r="J78" s="32">
        <f>IF(B77&lt;'Умови та класичний графік'!$J$14,J77,"")</f>
        <v>41666.666666666664</v>
      </c>
      <c r="K78" s="32">
        <f>IF(B77&lt;'Умови та класичний графік'!$J$14,((I77*'Умови та класичний графік'!$J$23)/365)*F78,"")</f>
        <v>159246.57534246618</v>
      </c>
      <c r="L78" s="30">
        <f>IF(B77&lt;'Умови та класичний графік'!$J$14,SUM(M78:V78),"")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графік'!$J$14,XIRR($G$37:G78,$C$37:C78,0),"")</f>
        <v>0.1654809521484375</v>
      </c>
      <c r="X78" s="42"/>
      <c r="Y78" s="35"/>
    </row>
    <row r="79" spans="2:25" x14ac:dyDescent="0.2">
      <c r="B79" s="25">
        <v>42</v>
      </c>
      <c r="C79" s="36">
        <f>IF(B78&lt;'Умови та класичний графік'!$J$14,EDATE(C78,1),"")</f>
        <v>46569</v>
      </c>
      <c r="D79" s="36">
        <f>IF(B78&lt;'Умови та класичний графік'!$J$14,C78,"")</f>
        <v>46539</v>
      </c>
      <c r="E79" s="26">
        <f>IF(B78&lt;'Умови та класичний графік'!$J$14,C79-1,"")</f>
        <v>46568</v>
      </c>
      <c r="F79" s="37">
        <f>IF(B78&lt;'Умови та класичний графік'!$J$14,E79-D79+1,"")</f>
        <v>30</v>
      </c>
      <c r="G79" s="89">
        <f>IF(B78&lt;'Умови та класичний графік'!$J$14,J79+K79+L79,"")</f>
        <v>195005.70776255749</v>
      </c>
      <c r="H79" s="90"/>
      <c r="I79" s="32">
        <f>IF(B78&lt;'Умови та класичний графік'!$J$14,I78-J79,"")</f>
        <v>8250000.0000000224</v>
      </c>
      <c r="J79" s="32">
        <f>IF(B78&lt;'Умови та класичний графік'!$J$14,J78,"")</f>
        <v>41666.666666666664</v>
      </c>
      <c r="K79" s="32">
        <f>IF(B78&lt;'Умови та класичний графік'!$J$14,((I78*'Умови та класичний графік'!$J$23)/365)*F79,"")</f>
        <v>153339.04109589083</v>
      </c>
      <c r="L79" s="30">
        <f>IF(B78&lt;'Умови та класичний графік'!$J$14,SUM(M79:V79),"")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графік'!$J$14,XIRR($G$37:G79,$C$37:C79,0),"")</f>
        <v>0.17590062988281252</v>
      </c>
      <c r="X79" s="42"/>
      <c r="Y79" s="35"/>
    </row>
    <row r="80" spans="2:25" x14ac:dyDescent="0.2">
      <c r="B80" s="25">
        <v>43</v>
      </c>
      <c r="C80" s="36">
        <f>IF(B79&lt;'Умови та класичний графік'!$J$14,EDATE(C79,1),"")</f>
        <v>46600</v>
      </c>
      <c r="D80" s="36">
        <f>IF(B79&lt;'Умови та класичний графік'!$J$14,C79,"")</f>
        <v>46569</v>
      </c>
      <c r="E80" s="26">
        <f>IF(B79&lt;'Умови та класичний графік'!$J$14,C80-1,"")</f>
        <v>46599</v>
      </c>
      <c r="F80" s="37">
        <f>IF(B79&lt;'Умови та класичний графік'!$J$14,E80-D80+1,"")</f>
        <v>31</v>
      </c>
      <c r="G80" s="89">
        <f>IF(B79&lt;'Умови та класичний графік'!$J$14,J80+K80+L80,"")</f>
        <v>199320.77625570819</v>
      </c>
      <c r="H80" s="90"/>
      <c r="I80" s="32">
        <f>IF(B79&lt;'Умови та класичний графік'!$J$14,I79-J80,"")</f>
        <v>8208333.3333333554</v>
      </c>
      <c r="J80" s="32">
        <f>IF(B79&lt;'Умови та класичний графік'!$J$14,J79,"")</f>
        <v>41666.666666666664</v>
      </c>
      <c r="K80" s="32">
        <f>IF(B79&lt;'Умови та класичний графік'!$J$14,((I79*'Умови та класичний графік'!$J$23)/365)*F80,"")</f>
        <v>157654.10958904153</v>
      </c>
      <c r="L80" s="30">
        <f>IF(B79&lt;'Умови та класичний графік'!$J$14,SUM(M80:V80),"")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графік'!$J$14,XIRR($G$37:G80,$C$37:C80,0),"")</f>
        <v>0.18605592285156253</v>
      </c>
      <c r="X80" s="42"/>
      <c r="Y80" s="35"/>
    </row>
    <row r="81" spans="2:25" x14ac:dyDescent="0.2">
      <c r="B81" s="25">
        <v>44</v>
      </c>
      <c r="C81" s="36">
        <f>IF(B80&lt;'Умови та класичний графік'!$J$14,EDATE(C80,1),"")</f>
        <v>46631</v>
      </c>
      <c r="D81" s="36">
        <f>IF(B80&lt;'Умови та класичний графік'!$J$14,C80,"")</f>
        <v>46600</v>
      </c>
      <c r="E81" s="26">
        <f>IF(B80&lt;'Умови та класичний графік'!$J$14,C81-1,"")</f>
        <v>46630</v>
      </c>
      <c r="F81" s="37">
        <f>IF(B80&lt;'Умови та класичний графік'!$J$14,E81-D81+1,"")</f>
        <v>31</v>
      </c>
      <c r="G81" s="89">
        <f>IF(B80&lt;'Умови та класичний графік'!$J$14,J81+K81+L81,"")</f>
        <v>198524.54337899585</v>
      </c>
      <c r="H81" s="90"/>
      <c r="I81" s="32">
        <f>IF(B80&lt;'Умови та класичний графік'!$J$14,I80-J81,"")</f>
        <v>8166666.6666666884</v>
      </c>
      <c r="J81" s="32">
        <f>IF(B80&lt;'Умови та класичний графік'!$J$14,J80,"")</f>
        <v>41666.666666666664</v>
      </c>
      <c r="K81" s="32">
        <f>IF(B80&lt;'Умови та класичний графік'!$J$14,((I80*'Умови та класичний графік'!$J$23)/365)*F81,"")</f>
        <v>156857.87671232919</v>
      </c>
      <c r="L81" s="30">
        <f>IF(B80&lt;'Умови та класичний графік'!$J$14,SUM(M81:V81),"")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графік'!$J$14,XIRR($G$37:G81,$C$37:C81,0),"")</f>
        <v>0.19569779785156249</v>
      </c>
      <c r="X81" s="42"/>
      <c r="Y81" s="35"/>
    </row>
    <row r="82" spans="2:25" x14ac:dyDescent="0.2">
      <c r="B82" s="25">
        <v>45</v>
      </c>
      <c r="C82" s="36">
        <f>IF(B81&lt;'Умови та класичний графік'!$J$14,EDATE(C81,1),"")</f>
        <v>46661</v>
      </c>
      <c r="D82" s="36">
        <f>IF(B81&lt;'Умови та класичний графік'!$J$14,C81,"")</f>
        <v>46631</v>
      </c>
      <c r="E82" s="26">
        <f>IF(B81&lt;'Умови та класичний графік'!$J$14,C82-1,"")</f>
        <v>46660</v>
      </c>
      <c r="F82" s="37">
        <f>IF(B81&lt;'Умови та класичний графік'!$J$14,E82-D82+1,"")</f>
        <v>30</v>
      </c>
      <c r="G82" s="89">
        <f>IF(B81&lt;'Умови та класичний графік'!$J$14,J82+K82+L82,"")</f>
        <v>192694.06392694105</v>
      </c>
      <c r="H82" s="90"/>
      <c r="I82" s="32">
        <f>IF(B81&lt;'Умови та класичний графік'!$J$14,I81-J82,"")</f>
        <v>8125000.0000000214</v>
      </c>
      <c r="J82" s="32">
        <f>IF(B81&lt;'Умови та класичний графік'!$J$14,J81,"")</f>
        <v>41666.666666666664</v>
      </c>
      <c r="K82" s="32">
        <f>IF(B81&lt;'Умови та класичний графік'!$J$14,((I81*'Умови та класичний графік'!$J$23)/365)*F82,"")</f>
        <v>151027.39726027439</v>
      </c>
      <c r="L82" s="30">
        <f>IF(B81&lt;'Умови та класичний графік'!$J$14,SUM(M82:V82),"")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графік'!$J$14,XIRR($G$37:G82,$C$37:C82,0),"")</f>
        <v>0.20462881347656253</v>
      </c>
      <c r="X82" s="42"/>
      <c r="Y82" s="35"/>
    </row>
    <row r="83" spans="2:25" x14ac:dyDescent="0.2">
      <c r="B83" s="25">
        <v>46</v>
      </c>
      <c r="C83" s="36">
        <f>IF(B82&lt;'Умови та класичний графік'!$J$14,EDATE(C82,1),"")</f>
        <v>46692</v>
      </c>
      <c r="D83" s="36">
        <f>IF(B82&lt;'Умови та класичний графік'!$J$14,C82,"")</f>
        <v>46661</v>
      </c>
      <c r="E83" s="26">
        <f>IF(B82&lt;'Умови та класичний графік'!$J$14,C83-1,"")</f>
        <v>46691</v>
      </c>
      <c r="F83" s="37">
        <f>IF(B82&lt;'Умови та класичний графік'!$J$14,E83-D83+1,"")</f>
        <v>31</v>
      </c>
      <c r="G83" s="89">
        <f>IF(B82&lt;'Умови та класичний графік'!$J$14,J83+K83+L83,"")</f>
        <v>196932.0776255712</v>
      </c>
      <c r="H83" s="90"/>
      <c r="I83" s="32">
        <f>IF(B82&lt;'Умови та класичний графік'!$J$14,I82-J83,"")</f>
        <v>8083333.3333333544</v>
      </c>
      <c r="J83" s="32">
        <f>IF(B82&lt;'Умови та класичний графік'!$J$14,J82,"")</f>
        <v>41666.666666666664</v>
      </c>
      <c r="K83" s="32">
        <f>IF(B82&lt;'Умови та класичний графік'!$J$14,((I82*'Умови та класичний графік'!$J$23)/365)*F83,"")</f>
        <v>155265.41095890454</v>
      </c>
      <c r="L83" s="30">
        <f>IF(B82&lt;'Умови та класичний графік'!$J$14,SUM(M83:V83),"")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графік'!$J$14,XIRR($G$37:G83,$C$37:C83,0),"")</f>
        <v>0.21333680175781256</v>
      </c>
      <c r="X83" s="42"/>
      <c r="Y83" s="35"/>
    </row>
    <row r="84" spans="2:25" x14ac:dyDescent="0.2">
      <c r="B84" s="25">
        <v>47</v>
      </c>
      <c r="C84" s="36">
        <f>IF(B83&lt;'Умови та класичний графік'!$J$14,EDATE(C83,1),"")</f>
        <v>46722</v>
      </c>
      <c r="D84" s="36">
        <f>IF(B83&lt;'Умови та класичний графік'!$J$14,C83,"")</f>
        <v>46692</v>
      </c>
      <c r="E84" s="26">
        <f>IF(B83&lt;'Умови та класичний графік'!$J$14,C84-1,"")</f>
        <v>46721</v>
      </c>
      <c r="F84" s="37">
        <f>IF(B83&lt;'Умови та класичний графік'!$J$14,E84-D84+1,"")</f>
        <v>30</v>
      </c>
      <c r="G84" s="89">
        <f>IF(B83&lt;'Умови та класичний графік'!$J$14,J84+K84+L84,"")</f>
        <v>191152.96803653007</v>
      </c>
      <c r="H84" s="90"/>
      <c r="I84" s="32">
        <f>IF(B83&lt;'Умови та класичний графік'!$J$14,I83-J84,"")</f>
        <v>8041666.6666666875</v>
      </c>
      <c r="J84" s="32">
        <f>IF(B83&lt;'Умови та класичний графік'!$J$14,J83,"")</f>
        <v>41666.666666666664</v>
      </c>
      <c r="K84" s="32">
        <f>IF(B83&lt;'Умови та класичний графік'!$J$14,((I83*'Умови та класичний графік'!$J$23)/365)*F84,"")</f>
        <v>149486.30136986342</v>
      </c>
      <c r="L84" s="30">
        <f>IF(B83&lt;'Умови та класичний графік'!$J$14,SUM(M84:V84),"")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графік'!$J$14,XIRR($G$37:G84,$C$37:C84,0),"")</f>
        <v>0.2214069189453125</v>
      </c>
      <c r="X84" s="42"/>
      <c r="Y84" s="35"/>
    </row>
    <row r="85" spans="2:25" x14ac:dyDescent="0.2">
      <c r="B85" s="25">
        <v>48</v>
      </c>
      <c r="C85" s="36">
        <f>IF(B84&lt;'Умови та класичний графік'!$J$14,EDATE(C84,1),"")</f>
        <v>46753</v>
      </c>
      <c r="D85" s="36">
        <f>IF(B84&lt;'Умови та класичний графік'!$J$14,C84,"")</f>
        <v>46722</v>
      </c>
      <c r="E85" s="26">
        <f>IF(B84&lt;'Умови та класичний графік'!$J$14,C85-1,"")</f>
        <v>46752</v>
      </c>
      <c r="F85" s="37">
        <f>IF(B84&lt;'Умови та класичний графік'!$J$14,E85-D85+1,"")</f>
        <v>31</v>
      </c>
      <c r="G85" s="89">
        <f>IF(B84&lt;'Умови та класичний графік'!$J$14,J85+K85+L85,"")</f>
        <v>645339.6118721466</v>
      </c>
      <c r="H85" s="90"/>
      <c r="I85" s="32">
        <f>IF(B84&lt;'Умови та класичний графік'!$J$14,I84-J85,"")</f>
        <v>8000000.0000000205</v>
      </c>
      <c r="J85" s="32">
        <f>IF(B84&lt;'Умови та класичний графік'!$J$14,J84,"")</f>
        <v>41666.666666666664</v>
      </c>
      <c r="K85" s="32">
        <f>IF(B84&lt;'Умови та класичний графік'!$J$14,((I84*'Умови та класичний графік'!$J$23)/365)*F85,"")</f>
        <v>153672.94520547983</v>
      </c>
      <c r="L85" s="30">
        <f>IF(B84&lt;'Умови та класичний графік'!$J$14,SUM(M85:V85),"")</f>
        <v>450000.00000000006</v>
      </c>
      <c r="M85" s="38"/>
      <c r="N85" s="39"/>
      <c r="O85" s="39"/>
      <c r="P85" s="32"/>
      <c r="Q85" s="40"/>
      <c r="R85" s="40"/>
      <c r="S85" s="41"/>
      <c r="T85" s="41"/>
      <c r="U85" s="33">
        <f>IF(B84&lt;'Умови та класичний графік'!$J$14,('Умови та класичний графік'!$J$15*$N$21)+(I85*$N$22),"")</f>
        <v>450000.00000000006</v>
      </c>
      <c r="V85" s="41"/>
      <c r="W85" s="43">
        <f>IF(B84&lt;'Умови та класичний графік'!$J$14,XIRR($G$37:G85,$C$37:C85,0),"")</f>
        <v>0.24658358886718756</v>
      </c>
      <c r="X85" s="42"/>
      <c r="Y85" s="35"/>
    </row>
    <row r="86" spans="2:25" x14ac:dyDescent="0.2">
      <c r="B86" s="25">
        <v>49</v>
      </c>
      <c r="C86" s="36">
        <f>IF(B85&lt;'Умови та класичний графік'!$J$14,EDATE(C85,1),"")</f>
        <v>46784</v>
      </c>
      <c r="D86" s="36">
        <f>IF(B85&lt;'Умови та класичний графік'!$J$14,C85,"")</f>
        <v>46753</v>
      </c>
      <c r="E86" s="26">
        <f>IF(B85&lt;'Умови та класичний графік'!$J$14,C86-1,"")</f>
        <v>46783</v>
      </c>
      <c r="F86" s="37">
        <f>IF(B85&lt;'Умови та класичний графік'!$J$14,E86-D86+1,"")</f>
        <v>31</v>
      </c>
      <c r="G86" s="89">
        <f>IF(B85&lt;'Умови та класичний графік'!$J$14,J86+K86+L86,"")</f>
        <v>194543.37899543418</v>
      </c>
      <c r="H86" s="90"/>
      <c r="I86" s="32">
        <f>IF(B85&lt;'Умови та класичний графік'!$J$14,I85-J86,"")</f>
        <v>7958333.3333333535</v>
      </c>
      <c r="J86" s="32">
        <f>IF(B85&lt;'Умови та класичний графік'!$J$14,J85,"")</f>
        <v>41666.666666666664</v>
      </c>
      <c r="K86" s="32">
        <f>IF(B85&lt;'Умови та класичний графік'!$J$14,((I85*'Умови та класичний графік'!$J$23)/365)*F86,"")</f>
        <v>152876.71232876752</v>
      </c>
      <c r="L86" s="30">
        <f>IF(B85&lt;'Умови та класичний графік'!$J$14,SUM(M86:V86),"")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графік'!$J$14,XIRR($G$37:G86,$C$37:C86,0),"")</f>
        <v>0.25360582519531238</v>
      </c>
      <c r="X86" s="42"/>
      <c r="Y86" s="35"/>
    </row>
    <row r="87" spans="2:25" x14ac:dyDescent="0.2">
      <c r="B87" s="25">
        <v>50</v>
      </c>
      <c r="C87" s="36">
        <f>IF(B86&lt;'Умови та класичний графік'!$J$14,EDATE(C86,1),"")</f>
        <v>46813</v>
      </c>
      <c r="D87" s="36">
        <f>IF(B86&lt;'Умови та класичний графік'!$J$14,C86,"")</f>
        <v>46784</v>
      </c>
      <c r="E87" s="26">
        <f>IF(B86&lt;'Умови та класичний графік'!$J$14,C87-1,"")</f>
        <v>46812</v>
      </c>
      <c r="F87" s="37">
        <f>IF(B86&lt;'Умови та класичний графік'!$J$14,E87-D87+1,"")</f>
        <v>29</v>
      </c>
      <c r="G87" s="89">
        <f>IF(B86&lt;'Умови та класичний графік'!$J$14,J87+K87+L87,"")</f>
        <v>183935.50228310536</v>
      </c>
      <c r="H87" s="90"/>
      <c r="I87" s="32">
        <f>IF(B86&lt;'Умови та класичний графік'!$J$14,I86-J87,"")</f>
        <v>7916666.6666666865</v>
      </c>
      <c r="J87" s="32">
        <f>IF(B86&lt;'Умови та класичний графік'!$J$14,J86,"")</f>
        <v>41666.666666666664</v>
      </c>
      <c r="K87" s="32">
        <f>IF(B86&lt;'Умови та класичний графік'!$J$14,((I86*'Умови та класичний графік'!$J$23)/365)*F87,"")</f>
        <v>142268.83561643871</v>
      </c>
      <c r="L87" s="30">
        <f>IF(B86&lt;'Умови та класичний графік'!$J$14,SUM(M87:V87),"")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графік'!$J$14,XIRR($G$37:G87,$C$37:C87,0),"")</f>
        <v>0.2599646044921875</v>
      </c>
      <c r="X87" s="42"/>
      <c r="Y87" s="35"/>
    </row>
    <row r="88" spans="2:25" x14ac:dyDescent="0.2">
      <c r="B88" s="25">
        <v>51</v>
      </c>
      <c r="C88" s="36">
        <f>IF(B87&lt;'Умови та класичний графік'!$J$14,EDATE(C87,1),"")</f>
        <v>46844</v>
      </c>
      <c r="D88" s="36">
        <f>IF(B87&lt;'Умови та класичний графік'!$J$14,C87,"")</f>
        <v>46813</v>
      </c>
      <c r="E88" s="26">
        <f>IF(B87&lt;'Умови та класичний графік'!$J$14,C88-1,"")</f>
        <v>46843</v>
      </c>
      <c r="F88" s="37">
        <f>IF(B87&lt;'Умови та класичний графік'!$J$14,E88-D88+1,"")</f>
        <v>31</v>
      </c>
      <c r="G88" s="89">
        <f>IF(B87&lt;'Умови та класичний графік'!$J$14,J88+K88+L88,"")</f>
        <v>192950.9132420095</v>
      </c>
      <c r="H88" s="90"/>
      <c r="I88" s="32">
        <f>IF(B87&lt;'Умови та класичний графік'!$J$14,I87-J88,"")</f>
        <v>7875000.0000000196</v>
      </c>
      <c r="J88" s="32">
        <f>IF(B87&lt;'Умови та класичний графік'!$J$14,J87,"")</f>
        <v>41666.666666666664</v>
      </c>
      <c r="K88" s="32">
        <f>IF(B87&lt;'Умови та класичний графік'!$J$14,((I87*'Умови та класичний графік'!$J$23)/365)*F88,"")</f>
        <v>151284.24657534284</v>
      </c>
      <c r="L88" s="30">
        <f>IF(B87&lt;'Умови та класичний графік'!$J$14,SUM(M88:V88),"")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графік'!$J$14,XIRR($G$37:G88,$C$37:C88,0),"")</f>
        <v>0.26634651855468761</v>
      </c>
      <c r="X88" s="42"/>
      <c r="Y88" s="35"/>
    </row>
    <row r="89" spans="2:25" x14ac:dyDescent="0.2">
      <c r="B89" s="25">
        <v>52</v>
      </c>
      <c r="C89" s="36">
        <f>IF(B88&lt;'Умови та класичний графік'!$J$14,EDATE(C88,1),"")</f>
        <v>46874</v>
      </c>
      <c r="D89" s="36">
        <f>IF(B88&lt;'Умови та класичний графік'!$J$14,C88,"")</f>
        <v>46844</v>
      </c>
      <c r="E89" s="26">
        <f>IF(B88&lt;'Умови та класичний графік'!$J$14,C89-1,"")</f>
        <v>46873</v>
      </c>
      <c r="F89" s="37">
        <f>IF(B88&lt;'Умови та класичний графік'!$J$14,E89-D89+1,"")</f>
        <v>30</v>
      </c>
      <c r="G89" s="89">
        <f>IF(B88&lt;'Умови та класичний графік'!$J$14,J89+K89+L89,"")</f>
        <v>187300.22831050266</v>
      </c>
      <c r="H89" s="90"/>
      <c r="I89" s="32">
        <f>IF(B88&lt;'Умови та класичний графік'!$J$14,I88-J89,"")</f>
        <v>7833333.3333333526</v>
      </c>
      <c r="J89" s="32">
        <f>IF(B88&lt;'Умови та класичний графік'!$J$14,J88,"")</f>
        <v>41666.666666666664</v>
      </c>
      <c r="K89" s="32">
        <f>IF(B88&lt;'Умови та класичний графік'!$J$14,((I88*'Умови та класичний графік'!$J$23)/365)*F89,"")</f>
        <v>145633.561643836</v>
      </c>
      <c r="L89" s="30">
        <f>IF(B88&lt;'Умови та класичний графік'!$J$14,SUM(M89:V89),"")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графік'!$J$14,XIRR($G$37:G89,$C$37:C89,0),"")</f>
        <v>0.2722766064453126</v>
      </c>
      <c r="X89" s="42"/>
      <c r="Y89" s="35"/>
    </row>
    <row r="90" spans="2:25" x14ac:dyDescent="0.2">
      <c r="B90" s="25">
        <v>53</v>
      </c>
      <c r="C90" s="36">
        <f>IF(B89&lt;'Умови та класичний графік'!$J$14,EDATE(C89,1),"")</f>
        <v>46905</v>
      </c>
      <c r="D90" s="36">
        <f>IF(B89&lt;'Умови та класичний графік'!$J$14,C89,"")</f>
        <v>46874</v>
      </c>
      <c r="E90" s="26">
        <f>IF(B89&lt;'Умови та класичний графік'!$J$14,C90-1,"")</f>
        <v>46904</v>
      </c>
      <c r="F90" s="37">
        <f>IF(B89&lt;'Умови та класичний графік'!$J$14,E90-D90+1,"")</f>
        <v>31</v>
      </c>
      <c r="G90" s="89">
        <f>IF(B89&lt;'Умови та класичний графік'!$J$14,J90+K90+L90,"")</f>
        <v>191358.44748858485</v>
      </c>
      <c r="H90" s="90"/>
      <c r="I90" s="32">
        <f>IF(B89&lt;'Умови та класичний графік'!$J$14,I89-J90,"")</f>
        <v>7791666.6666666856</v>
      </c>
      <c r="J90" s="32">
        <f>IF(B89&lt;'Умови та класичний графік'!$J$14,J89,"")</f>
        <v>41666.666666666664</v>
      </c>
      <c r="K90" s="32">
        <f>IF(B89&lt;'Умови та класичний графік'!$J$14,((I89*'Умови та класичний графік'!$J$23)/365)*F90,"")</f>
        <v>149691.78082191819</v>
      </c>
      <c r="L90" s="30">
        <f>IF(B89&lt;'Умови та класичний графік'!$J$14,SUM(M90:V90),"")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графік'!$J$14,XIRR($G$37:G90,$C$37:C90,0),"")</f>
        <v>0.27807362792968759</v>
      </c>
      <c r="X90" s="42"/>
      <c r="Y90" s="35"/>
    </row>
    <row r="91" spans="2:25" x14ac:dyDescent="0.2">
      <c r="B91" s="25">
        <v>54</v>
      </c>
      <c r="C91" s="36">
        <f>IF(B90&lt;'Умови та класичний графік'!$J$14,EDATE(C90,1),"")</f>
        <v>46935</v>
      </c>
      <c r="D91" s="36">
        <f>IF(B90&lt;'Умови та класичний графік'!$J$14,C90,"")</f>
        <v>46905</v>
      </c>
      <c r="E91" s="26">
        <f>IF(B90&lt;'Умови та класичний графік'!$J$14,C91-1,"")</f>
        <v>46934</v>
      </c>
      <c r="F91" s="37">
        <f>IF(B90&lt;'Умови та класичний графік'!$J$14,E91-D91+1,"")</f>
        <v>30</v>
      </c>
      <c r="G91" s="89">
        <f>IF(B90&lt;'Умови та класичний графік'!$J$14,J91+K91+L91,"")</f>
        <v>185759.13242009166</v>
      </c>
      <c r="H91" s="90"/>
      <c r="I91" s="32">
        <f>IF(B90&lt;'Умови та класичний графік'!$J$14,I90-J91,"")</f>
        <v>7750000.0000000186</v>
      </c>
      <c r="J91" s="32">
        <f>IF(B90&lt;'Умови та класичний графік'!$J$14,J90,"")</f>
        <v>41666.666666666664</v>
      </c>
      <c r="K91" s="32">
        <f>IF(B90&lt;'Умови та класичний графік'!$J$14,((I90*'Умови та класичний графік'!$J$23)/365)*F91,"")</f>
        <v>144092.465753425</v>
      </c>
      <c r="L91" s="30">
        <f>IF(B90&lt;'Умови та класичний графік'!$J$14,SUM(M91:V91),"")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графік'!$J$14,XIRR($G$37:G91,$C$37:C91,0),"")</f>
        <v>0.28346289550781267</v>
      </c>
      <c r="X91" s="42"/>
      <c r="Y91" s="35"/>
    </row>
    <row r="92" spans="2:25" x14ac:dyDescent="0.2">
      <c r="B92" s="25">
        <v>55</v>
      </c>
      <c r="C92" s="36">
        <f>IF(B91&lt;'Умови та класичний графік'!$J$14,EDATE(C91,1),"")</f>
        <v>46966</v>
      </c>
      <c r="D92" s="36">
        <f>IF(B91&lt;'Умови та класичний графік'!$J$14,C91,"")</f>
        <v>46935</v>
      </c>
      <c r="E92" s="26">
        <f>IF(B91&lt;'Умови та класичний графік'!$J$14,C92-1,"")</f>
        <v>46965</v>
      </c>
      <c r="F92" s="37">
        <f>IF(B91&lt;'Умови та класичний графік'!$J$14,E92-D92+1,"")</f>
        <v>31</v>
      </c>
      <c r="G92" s="89">
        <f>IF(B91&lt;'Умови та класичний графік'!$J$14,J92+K92+L92,"")</f>
        <v>189765.98173516017</v>
      </c>
      <c r="H92" s="90"/>
      <c r="I92" s="32">
        <f>IF(B91&lt;'Умови та класичний графік'!$J$14,I91-J92,"")</f>
        <v>7708333.3333333516</v>
      </c>
      <c r="J92" s="32">
        <f>IF(B91&lt;'Умови та класичний графік'!$J$14,J91,"")</f>
        <v>41666.666666666664</v>
      </c>
      <c r="K92" s="32">
        <f>IF(B91&lt;'Умови та класичний графік'!$J$14,((I91*'Умови та класичний графік'!$J$23)/365)*F92,"")</f>
        <v>148099.31506849351</v>
      </c>
      <c r="L92" s="30">
        <f>IF(B91&lt;'Умови та класичний графік'!$J$14,SUM(M92:V92),"")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графік'!$J$14,XIRR($G$37:G92,$C$37:C92,0),"")</f>
        <v>0.28873315917968745</v>
      </c>
      <c r="X92" s="42"/>
      <c r="Y92" s="35"/>
    </row>
    <row r="93" spans="2:25" x14ac:dyDescent="0.2">
      <c r="B93" s="25">
        <v>56</v>
      </c>
      <c r="C93" s="36">
        <f>IF(B92&lt;'Умови та класичний графік'!$J$14,EDATE(C92,1),"")</f>
        <v>46997</v>
      </c>
      <c r="D93" s="36">
        <f>IF(B92&lt;'Умови та класичний графік'!$J$14,C92,"")</f>
        <v>46966</v>
      </c>
      <c r="E93" s="26">
        <f>IF(B92&lt;'Умови та класичний графік'!$J$14,C93-1,"")</f>
        <v>46996</v>
      </c>
      <c r="F93" s="37">
        <f>IF(B92&lt;'Умови та класичний графік'!$J$14,E93-D93+1,"")</f>
        <v>31</v>
      </c>
      <c r="G93" s="89">
        <f>IF(B92&lt;'Умови та класичний графік'!$J$14,J93+K93+L93,"")</f>
        <v>188969.74885844783</v>
      </c>
      <c r="H93" s="90"/>
      <c r="I93" s="32">
        <f>IF(B92&lt;'Умови та класичний графік'!$J$14,I92-J93,"")</f>
        <v>7666666.6666666847</v>
      </c>
      <c r="J93" s="32">
        <f>IF(B92&lt;'Умови та класичний графік'!$J$14,J92,"")</f>
        <v>41666.666666666664</v>
      </c>
      <c r="K93" s="32">
        <f>IF(B92&lt;'Умови та класичний графік'!$J$14,((I92*'Умови та класичний графік'!$J$23)/365)*F93,"")</f>
        <v>147303.08219178117</v>
      </c>
      <c r="L93" s="30">
        <f>IF(B92&lt;'Умови та класичний графік'!$J$14,SUM(M93:V93),"")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графік'!$J$14,XIRR($G$37:G93,$C$37:C93,0),"")</f>
        <v>0.29375685058593748</v>
      </c>
      <c r="X93" s="42"/>
      <c r="Y93" s="35"/>
    </row>
    <row r="94" spans="2:25" x14ac:dyDescent="0.2">
      <c r="B94" s="25">
        <v>57</v>
      </c>
      <c r="C94" s="36">
        <f>IF(B93&lt;'Умови та класичний графік'!$J$14,EDATE(C93,1),"")</f>
        <v>47027</v>
      </c>
      <c r="D94" s="36">
        <f>IF(B93&lt;'Умови та класичний графік'!$J$14,C93,"")</f>
        <v>46997</v>
      </c>
      <c r="E94" s="26">
        <f>IF(B93&lt;'Умови та класичний графік'!$J$14,C94-1,"")</f>
        <v>47026</v>
      </c>
      <c r="F94" s="37">
        <f>IF(B93&lt;'Умови та класичний графік'!$J$14,E94-D94+1,"")</f>
        <v>30</v>
      </c>
      <c r="G94" s="89">
        <f>IF(B93&lt;'Умови та класичний графік'!$J$14,J94+K94+L94,"")</f>
        <v>183447.48858447521</v>
      </c>
      <c r="H94" s="90"/>
      <c r="I94" s="32">
        <f>IF(B93&lt;'Умови та класичний графік'!$J$14,I93-J94,"")</f>
        <v>7625000.0000000177</v>
      </c>
      <c r="J94" s="32">
        <f>IF(B93&lt;'Умови та класичний графік'!$J$14,J93,"")</f>
        <v>41666.666666666664</v>
      </c>
      <c r="K94" s="32">
        <f>IF(B93&lt;'Умови та класичний графік'!$J$14,((I93*'Умови та класичний графік'!$J$23)/365)*F94,"")</f>
        <v>141780.82191780856</v>
      </c>
      <c r="L94" s="30">
        <f>IF(B93&lt;'Умови та класичний графік'!$J$14,SUM(M94:V94),"")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графік'!$J$14,XIRR($G$37:G94,$C$37:C94,0),"")</f>
        <v>0.29843090332031252</v>
      </c>
      <c r="X94" s="42"/>
      <c r="Y94" s="35"/>
    </row>
    <row r="95" spans="2:25" x14ac:dyDescent="0.2">
      <c r="B95" s="25">
        <v>58</v>
      </c>
      <c r="C95" s="36">
        <f>IF(B94&lt;'Умови та класичний графік'!$J$14,EDATE(C94,1),"")</f>
        <v>47058</v>
      </c>
      <c r="D95" s="36">
        <f>IF(B94&lt;'Умови та класичний графік'!$J$14,C94,"")</f>
        <v>47027</v>
      </c>
      <c r="E95" s="26">
        <f>IF(B94&lt;'Умови та класичний графік'!$J$14,C95-1,"")</f>
        <v>47057</v>
      </c>
      <c r="F95" s="37">
        <f>IF(B94&lt;'Умови та класичний графік'!$J$14,E95-D95+1,"")</f>
        <v>31</v>
      </c>
      <c r="G95" s="89">
        <f>IF(B94&lt;'Умови та класичний графік'!$J$14,J95+K95+L95,"")</f>
        <v>187377.28310502315</v>
      </c>
      <c r="H95" s="90"/>
      <c r="I95" s="32">
        <f>IF(B94&lt;'Умови та класичний графік'!$J$14,I94-J95,"")</f>
        <v>7583333.3333333507</v>
      </c>
      <c r="J95" s="32">
        <f>IF(B94&lt;'Умови та класичний графік'!$J$14,J94,"")</f>
        <v>41666.666666666664</v>
      </c>
      <c r="K95" s="32">
        <f>IF(B94&lt;'Умови та класичний графік'!$J$14,((I94*'Умови та класичний графік'!$J$23)/365)*F95,"")</f>
        <v>145710.61643835649</v>
      </c>
      <c r="L95" s="30">
        <f>IF(B94&lt;'Умови та класичний графік'!$J$14,SUM(M95:V95),"")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графік'!$J$14,XIRR($G$37:G95,$C$37:C95,0),"")</f>
        <v>0.30300448730468754</v>
      </c>
      <c r="X95" s="42"/>
      <c r="Y95" s="35"/>
    </row>
    <row r="96" spans="2:25" x14ac:dyDescent="0.2">
      <c r="B96" s="25">
        <v>59</v>
      </c>
      <c r="C96" s="36">
        <f>IF(B95&lt;'Умови та класичний графік'!$J$14,EDATE(C95,1),"")</f>
        <v>47088</v>
      </c>
      <c r="D96" s="36">
        <f>IF(B95&lt;'Умови та класичний графік'!$J$14,C95,"")</f>
        <v>47058</v>
      </c>
      <c r="E96" s="26">
        <f>IF(B95&lt;'Умови та класичний графік'!$J$14,C96-1,"")</f>
        <v>47087</v>
      </c>
      <c r="F96" s="37">
        <f>IF(B95&lt;'Умови та класичний графік'!$J$14,E96-D96+1,"")</f>
        <v>30</v>
      </c>
      <c r="G96" s="89">
        <f>IF(B95&lt;'Умови та класичний графік'!$J$14,J96+K96+L96,"")</f>
        <v>181906.39269406424</v>
      </c>
      <c r="H96" s="90"/>
      <c r="I96" s="32">
        <f>IF(B95&lt;'Умови та класичний графік'!$J$14,I95-J96,"")</f>
        <v>7541666.6666666837</v>
      </c>
      <c r="J96" s="32">
        <f>IF(B95&lt;'Умови та класичний графік'!$J$14,J95,"")</f>
        <v>41666.666666666664</v>
      </c>
      <c r="K96" s="32">
        <f>IF(B95&lt;'Умови та класичний графік'!$J$14,((I95*'Умови та класичний графік'!$J$23)/365)*F96,"")</f>
        <v>140239.72602739758</v>
      </c>
      <c r="L96" s="30">
        <f>IF(B95&lt;'Умови та класичний графік'!$J$14,SUM(M96:V96),"")</f>
        <v>0</v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>
        <f>IF(B95&lt;'Умови та класичний графік'!$J$14,XIRR($G$37:G96,$C$37:C96,0),"")</f>
        <v>0.30726209472656252</v>
      </c>
      <c r="X96" s="42"/>
      <c r="Y96" s="35"/>
    </row>
    <row r="97" spans="2:25" x14ac:dyDescent="0.2">
      <c r="B97" s="25">
        <v>60</v>
      </c>
      <c r="C97" s="36">
        <f>IF(B96&lt;'Умови та класичний графік'!$J$14,EDATE(C96,1),"")</f>
        <v>47119</v>
      </c>
      <c r="D97" s="36">
        <f>IF(B96&lt;'Умови та класичний графік'!$J$14,C96,"")</f>
        <v>47088</v>
      </c>
      <c r="E97" s="26">
        <f>IF(B96&lt;'Умови та класичний графік'!$J$14,C97-1,"")</f>
        <v>47118</v>
      </c>
      <c r="F97" s="37">
        <f>IF(B96&lt;'Умови та класичний графік'!$J$14,E97-D97+1,"")</f>
        <v>31</v>
      </c>
      <c r="G97" s="89">
        <f>IF(B96&lt;'Умови та класичний графік'!$J$14,J97+K97+L97,"")</f>
        <v>634284.81735159853</v>
      </c>
      <c r="H97" s="90"/>
      <c r="I97" s="32">
        <f>IF(B96&lt;'Умови та класичний графік'!$J$14,I96-J97,"")</f>
        <v>7500000.0000000168</v>
      </c>
      <c r="J97" s="32">
        <f>IF(B96&lt;'Умови та класичний графік'!$J$14,J96,"")</f>
        <v>41666.666666666664</v>
      </c>
      <c r="K97" s="32">
        <f>IF(B96&lt;'Умови та класичний графік'!$J$14,((I96*'Умови та класичний графік'!$J$23)/365)*F97,"")</f>
        <v>144118.15068493184</v>
      </c>
      <c r="L97" s="30">
        <f>IF(B96&lt;'Умови та класичний графік'!$J$14,SUM(M97:V97),"")</f>
        <v>448500.00000000006</v>
      </c>
      <c r="M97" s="38"/>
      <c r="N97" s="39"/>
      <c r="O97" s="39"/>
      <c r="P97" s="32"/>
      <c r="Q97" s="40"/>
      <c r="R97" s="40"/>
      <c r="S97" s="41"/>
      <c r="T97" s="41"/>
      <c r="U97" s="33">
        <f>IF(B96&lt;'Умови та класичний графік'!$J$14,('Умови та класичний графік'!$J$15*$N$21)+(I97*$N$22),"")</f>
        <v>448500.00000000006</v>
      </c>
      <c r="V97" s="41"/>
      <c r="W97" s="43">
        <f>IF(B96&lt;'Умови та класичний графік'!$J$14,XIRR($G$37:G97,$C$37:C97,0),"")</f>
        <v>0.32116856933593751</v>
      </c>
      <c r="X97" s="42"/>
      <c r="Y97" s="35"/>
    </row>
    <row r="98" spans="2:25" x14ac:dyDescent="0.2">
      <c r="B98" s="25">
        <v>61</v>
      </c>
      <c r="C98" s="36">
        <f>IF(B97&lt;'Умови та класичний графік'!$J$14,EDATE(C97,1),"")</f>
        <v>47150</v>
      </c>
      <c r="D98" s="36">
        <f>IF(B97&lt;'Умови та класичний графік'!$J$14,C97,"")</f>
        <v>47119</v>
      </c>
      <c r="E98" s="26">
        <f>IF(B97&lt;'Умови та класичний графік'!$J$14,C98-1,"")</f>
        <v>47149</v>
      </c>
      <c r="F98" s="37">
        <f>IF(B97&lt;'Умови та класичний графік'!$J$14,E98-D98+1,"")</f>
        <v>31</v>
      </c>
      <c r="G98" s="89">
        <f>IF(B97&lt;'Умови та класичний графік'!$J$14,J98+K98+L98,"")</f>
        <v>184988.58447488616</v>
      </c>
      <c r="H98" s="90"/>
      <c r="I98" s="32">
        <f>IF(B97&lt;'Умови та класичний графік'!$J$14,I97-J98,"")</f>
        <v>7458333.3333333498</v>
      </c>
      <c r="J98" s="32">
        <f>IF(B97&lt;'Умови та класичний графік'!$J$14,J97,"")</f>
        <v>41666.666666666664</v>
      </c>
      <c r="K98" s="32">
        <f>IF(B97&lt;'Умови та класичний графік'!$J$14,((I97*'Умови та класичний графік'!$J$23)/365)*F98,"")</f>
        <v>143321.9178082195</v>
      </c>
      <c r="L98" s="30">
        <f>IF(B97&lt;'Умови та класичний графік'!$J$14,SUM(M98:V98),"")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графік'!$J$14,XIRR($G$37:G98,$C$37:C98,0),"")</f>
        <v>0.32496985839843762</v>
      </c>
      <c r="X98" s="42"/>
      <c r="Y98" s="35"/>
    </row>
    <row r="99" spans="2:25" x14ac:dyDescent="0.2">
      <c r="B99" s="25">
        <v>62</v>
      </c>
      <c r="C99" s="36">
        <f>IF(B98&lt;'Умови та класичний графік'!$J$14,EDATE(C98,1),"")</f>
        <v>47178</v>
      </c>
      <c r="D99" s="36">
        <f>IF(B98&lt;'Умови та класичний графік'!$J$14,C98,"")</f>
        <v>47150</v>
      </c>
      <c r="E99" s="26">
        <f>IF(B98&lt;'Умови та класичний графік'!$J$14,C99-1,"")</f>
        <v>47177</v>
      </c>
      <c r="F99" s="37">
        <f>IF(B98&lt;'Умови та класичний графік'!$J$14,E99-D99+1,"")</f>
        <v>28</v>
      </c>
      <c r="G99" s="89">
        <f>IF(B98&lt;'Умови та класичний графік'!$J$14,J99+K99+L99,"")</f>
        <v>170399.54337899573</v>
      </c>
      <c r="H99" s="90"/>
      <c r="I99" s="32">
        <f>IF(B98&lt;'Умови та класичний графік'!$J$14,I98-J99,"")</f>
        <v>7416666.6666666828</v>
      </c>
      <c r="J99" s="32">
        <f>IF(B98&lt;'Умови та класичний графік'!$J$14,J98,"")</f>
        <v>41666.666666666664</v>
      </c>
      <c r="K99" s="32">
        <f>IF(B98&lt;'Умови та класичний графік'!$J$14,((I98*'Умови та класичний графік'!$J$23)/365)*F99,"")</f>
        <v>128732.87671232906</v>
      </c>
      <c r="L99" s="30">
        <f>IF(B98&lt;'Умови та класичний графік'!$J$14,SUM(M99:V99),"")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графік'!$J$14,XIRR($G$37:G99,$C$37:C99,0),"")</f>
        <v>0.32833859863281256</v>
      </c>
      <c r="X99" s="42"/>
      <c r="Y99" s="35"/>
    </row>
    <row r="100" spans="2:25" x14ac:dyDescent="0.2">
      <c r="B100" s="25">
        <v>63</v>
      </c>
      <c r="C100" s="36">
        <f>IF(B99&lt;'Умови та класичний графік'!$J$14,EDATE(C99,1),"")</f>
        <v>47209</v>
      </c>
      <c r="D100" s="36">
        <f>IF(B99&lt;'Умови та класичний графік'!$J$14,C99,"")</f>
        <v>47178</v>
      </c>
      <c r="E100" s="26">
        <f>IF(B99&lt;'Умови та класичний графік'!$J$14,C100-1,"")</f>
        <v>47208</v>
      </c>
      <c r="F100" s="37">
        <f>IF(B99&lt;'Умови та класичний графік'!$J$14,E100-D100+1,"")</f>
        <v>31</v>
      </c>
      <c r="G100" s="89">
        <f>IF(B99&lt;'Умови та класичний графік'!$J$14,J100+K100+L100,"")</f>
        <v>183396.11872146151</v>
      </c>
      <c r="H100" s="90"/>
      <c r="I100" s="32">
        <f>IF(B99&lt;'Умови та класичний графік'!$J$14,I99-J100,"")</f>
        <v>7375000.0000000158</v>
      </c>
      <c r="J100" s="32">
        <f>IF(B99&lt;'Умови та класичний графік'!$J$14,J99,"")</f>
        <v>41666.666666666664</v>
      </c>
      <c r="K100" s="32">
        <f>IF(B99&lt;'Умови та класичний графік'!$J$14,((I99*'Умови та класичний графік'!$J$23)/365)*F100,"")</f>
        <v>141729.45205479485</v>
      </c>
      <c r="L100" s="30">
        <f>IF(B99&lt;'Умови та класичний графік'!$J$14,SUM(M100:V100),"")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графік'!$J$14,XIRR($G$37:G100,$C$37:C100,0),"")</f>
        <v>0.33181953613281256</v>
      </c>
      <c r="X100" s="42"/>
      <c r="Y100" s="35"/>
    </row>
    <row r="101" spans="2:25" x14ac:dyDescent="0.2">
      <c r="B101" s="25">
        <v>64</v>
      </c>
      <c r="C101" s="36">
        <f>IF(B100&lt;'Умови та класичний графік'!$J$14,EDATE(C100,1),"")</f>
        <v>47239</v>
      </c>
      <c r="D101" s="36">
        <f>IF(B100&lt;'Умови та класичний графік'!$J$14,C100,"")</f>
        <v>47209</v>
      </c>
      <c r="E101" s="26">
        <f>IF(B100&lt;'Умови та класичний графік'!$J$14,C101-1,"")</f>
        <v>47238</v>
      </c>
      <c r="F101" s="37">
        <f>IF(B100&lt;'Умови та класичний графік'!$J$14,E101-D101+1,"")</f>
        <v>30</v>
      </c>
      <c r="G101" s="89">
        <f>IF(B100&lt;'Умови та класичний графік'!$J$14,J101+K101+L101,"")</f>
        <v>178053.6529680368</v>
      </c>
      <c r="H101" s="90"/>
      <c r="I101" s="32">
        <f>IF(B100&lt;'Умови та класичний графік'!$J$14,I100-J101,"")</f>
        <v>7333333.3333333489</v>
      </c>
      <c r="J101" s="32">
        <f>IF(B100&lt;'Умови та класичний графік'!$J$14,J100,"")</f>
        <v>41666.666666666664</v>
      </c>
      <c r="K101" s="32">
        <f>IF(B100&lt;'Умови та класичний графік'!$J$14,((I100*'Умови та класичний графік'!$J$23)/365)*F101,"")</f>
        <v>136386.98630137014</v>
      </c>
      <c r="L101" s="30">
        <f>IF(B100&lt;'Умови та класичний графік'!$J$14,SUM(M101:V101),"")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графік'!$J$14,XIRR($G$37:G101,$C$37:C101,0),"")</f>
        <v>0.33506595214843748</v>
      </c>
      <c r="X101" s="42"/>
      <c r="Y101" s="35"/>
    </row>
    <row r="102" spans="2:25" x14ac:dyDescent="0.2">
      <c r="B102" s="25">
        <v>65</v>
      </c>
      <c r="C102" s="36">
        <f>IF(B101&lt;'Умови та класичний графік'!$J$14,EDATE(C101,1),"")</f>
        <v>47270</v>
      </c>
      <c r="D102" s="36">
        <f>IF(B101&lt;'Умови та класичний графік'!$J$14,C101,"")</f>
        <v>47239</v>
      </c>
      <c r="E102" s="26">
        <f>IF(B101&lt;'Умови та класичний графік'!$J$14,C102-1,"")</f>
        <v>47269</v>
      </c>
      <c r="F102" s="37">
        <f>IF(B101&lt;'Умови та класичний графік'!$J$14,E102-D102+1,"")</f>
        <v>31</v>
      </c>
      <c r="G102" s="89">
        <f>IF(B101&lt;'Умови та класичний графік'!$J$14,J102+K102+L102,"")</f>
        <v>181803.6529680368</v>
      </c>
      <c r="H102" s="90"/>
      <c r="I102" s="32">
        <f>IF(B101&lt;'Умови та класичний графік'!$J$14,I101-J102,"")</f>
        <v>7291666.6666666819</v>
      </c>
      <c r="J102" s="32">
        <f>IF(B101&lt;'Умови та класичний графік'!$J$14,J101,"")</f>
        <v>41666.666666666664</v>
      </c>
      <c r="K102" s="32">
        <f>IF(B101&lt;'Умови та класичний графік'!$J$14,((I101*'Умови та класичний графік'!$J$23)/365)*F102,"")</f>
        <v>140136.98630137014</v>
      </c>
      <c r="L102" s="30">
        <f>IF(B101&lt;'Умови та класичний графік'!$J$14,SUM(M102:V102),"")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графік'!$J$14,XIRR($G$37:G102,$C$37:C102,0),"")</f>
        <v>0.33824840332031247</v>
      </c>
      <c r="X102" s="42"/>
      <c r="Y102" s="35"/>
    </row>
    <row r="103" spans="2:25" x14ac:dyDescent="0.2">
      <c r="B103" s="25">
        <v>66</v>
      </c>
      <c r="C103" s="36">
        <f>IF(B102&lt;'Умови та класичний графік'!$J$14,EDATE(C102,1),"")</f>
        <v>47300</v>
      </c>
      <c r="D103" s="36">
        <f>IF(B102&lt;'Умови та класичний графік'!$J$14,C102,"")</f>
        <v>47270</v>
      </c>
      <c r="E103" s="26">
        <f>IF(B102&lt;'Умови та класичний графік'!$J$14,C103-1,"")</f>
        <v>47299</v>
      </c>
      <c r="F103" s="37">
        <f>IF(B102&lt;'Умови та класичний графік'!$J$14,E103-D103+1,"")</f>
        <v>30</v>
      </c>
      <c r="G103" s="89">
        <f>IF(B102&lt;'Умови та класичний графік'!$J$14,J103+K103+L103,"")</f>
        <v>176512.55707762585</v>
      </c>
      <c r="H103" s="90"/>
      <c r="I103" s="32">
        <f>IF(B102&lt;'Умови та класичний графік'!$J$14,I102-J103,"")</f>
        <v>7250000.0000000149</v>
      </c>
      <c r="J103" s="32">
        <f>IF(B102&lt;'Умови та класичний графік'!$J$14,J102,"")</f>
        <v>41666.666666666664</v>
      </c>
      <c r="K103" s="32">
        <f>IF(B102&lt;'Умови та класичний графік'!$J$14,((I102*'Умови та класичний графік'!$J$23)/365)*F103,"")</f>
        <v>134845.8904109592</v>
      </c>
      <c r="L103" s="30">
        <f>IF(B102&lt;'Умови та класичний графік'!$J$14,SUM(M103:V103),"")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графік'!$J$14,XIRR($G$37:G103,$C$37:C103,0),"")</f>
        <v>0.34121786621093741</v>
      </c>
      <c r="X103" s="42"/>
      <c r="Y103" s="35"/>
    </row>
    <row r="104" spans="2:25" x14ac:dyDescent="0.2">
      <c r="B104" s="25">
        <v>67</v>
      </c>
      <c r="C104" s="36">
        <f>IF(B103&lt;'Умови та класичний графік'!$J$14,EDATE(C103,1),"")</f>
        <v>47331</v>
      </c>
      <c r="D104" s="36">
        <f>IF(B103&lt;'Умови та класичний графік'!$J$14,C103,"")</f>
        <v>47300</v>
      </c>
      <c r="E104" s="26">
        <f>IF(B103&lt;'Умови та класичний графік'!$J$14,C104-1,"")</f>
        <v>47330</v>
      </c>
      <c r="F104" s="37">
        <f>IF(B103&lt;'Умови та класичний графік'!$J$14,E104-D104+1,"")</f>
        <v>31</v>
      </c>
      <c r="G104" s="89">
        <f>IF(B103&lt;'Умови та класичний графік'!$J$14,J104+K104+L104,"")</f>
        <v>180211.18721461215</v>
      </c>
      <c r="H104" s="90"/>
      <c r="I104" s="32">
        <f>IF(B103&lt;'Умови та класичний графік'!$J$14,I103-J104,"")</f>
        <v>7208333.3333333479</v>
      </c>
      <c r="J104" s="32">
        <f>IF(B103&lt;'Умови та класичний графік'!$J$14,J103,"")</f>
        <v>41666.666666666664</v>
      </c>
      <c r="K104" s="32">
        <f>IF(B103&lt;'Умови та класичний графік'!$J$14,((I103*'Умови та класичний графік'!$J$23)/365)*F104,"")</f>
        <v>138544.52054794549</v>
      </c>
      <c r="L104" s="30">
        <f>IF(B103&lt;'Умови та класичний графік'!$J$14,SUM(M104:V104),"")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графік'!$J$14,XIRR($G$37:G104,$C$37:C104,0),"")</f>
        <v>0.34412978027343744</v>
      </c>
      <c r="X104" s="42"/>
      <c r="Y104" s="35"/>
    </row>
    <row r="105" spans="2:25" x14ac:dyDescent="0.2">
      <c r="B105" s="25">
        <v>68</v>
      </c>
      <c r="C105" s="36">
        <f>IF(B104&lt;'Умови та класичний графік'!$J$14,EDATE(C104,1),"")</f>
        <v>47362</v>
      </c>
      <c r="D105" s="36">
        <f>IF(B104&lt;'Умови та класичний графік'!$J$14,C104,"")</f>
        <v>47331</v>
      </c>
      <c r="E105" s="26">
        <f>IF(B104&lt;'Умови та класичний графік'!$J$14,C105-1,"")</f>
        <v>47361</v>
      </c>
      <c r="F105" s="37">
        <f>IF(B104&lt;'Умови та класичний графік'!$J$14,E105-D105+1,"")</f>
        <v>31</v>
      </c>
      <c r="G105" s="89">
        <f>IF(B104&lt;'Умови та класичний графік'!$J$14,J105+K105+L105,"")</f>
        <v>179414.95433789981</v>
      </c>
      <c r="H105" s="90"/>
      <c r="I105" s="32">
        <f>IF(B104&lt;'Умови та класичний графік'!$J$14,I104-J105,"")</f>
        <v>7166666.6666666809</v>
      </c>
      <c r="J105" s="32">
        <f>IF(B104&lt;'Умови та класичний графік'!$J$14,J104,"")</f>
        <v>41666.666666666664</v>
      </c>
      <c r="K105" s="32">
        <f>IF(B104&lt;'Умови та класичний графік'!$J$14,((I104*'Умови та класичний графік'!$J$23)/365)*F105,"")</f>
        <v>137748.28767123315</v>
      </c>
      <c r="L105" s="30">
        <f>IF(B104&lt;'Умови та класичний графік'!$J$14,SUM(M105:V105),"")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графік'!$J$14,XIRR($G$37:G105,$C$37:C105,0),"")</f>
        <v>0.34691438964843746</v>
      </c>
      <c r="X105" s="42"/>
      <c r="Y105" s="35"/>
    </row>
    <row r="106" spans="2:25" x14ac:dyDescent="0.2">
      <c r="B106" s="25">
        <v>69</v>
      </c>
      <c r="C106" s="36">
        <f>IF(B105&lt;'Умови та класичний графік'!$J$14,EDATE(C105,1),"")</f>
        <v>47392</v>
      </c>
      <c r="D106" s="36">
        <f>IF(B105&lt;'Умови та класичний графік'!$J$14,C105,"")</f>
        <v>47362</v>
      </c>
      <c r="E106" s="26">
        <f>IF(B105&lt;'Умови та класичний графік'!$J$14,C106-1,"")</f>
        <v>47391</v>
      </c>
      <c r="F106" s="37">
        <f>IF(B105&lt;'Умови та класичний графік'!$J$14,E106-D106+1,"")</f>
        <v>30</v>
      </c>
      <c r="G106" s="89">
        <f>IF(B105&lt;'Умови та класичний графік'!$J$14,J106+K106+L106,"")</f>
        <v>174200.91324200941</v>
      </c>
      <c r="H106" s="90"/>
      <c r="I106" s="32">
        <f>IF(B105&lt;'Умови та класичний графік'!$J$14,I105-J106,"")</f>
        <v>7125000.000000014</v>
      </c>
      <c r="J106" s="32">
        <f>IF(B105&lt;'Умови та класичний графік'!$J$14,J105,"")</f>
        <v>41666.666666666664</v>
      </c>
      <c r="K106" s="32">
        <f>IF(B105&lt;'Умови та класичний графік'!$J$14,((I105*'Умови та класичний графік'!$J$23)/365)*F106,"")</f>
        <v>132534.24657534275</v>
      </c>
      <c r="L106" s="30">
        <f>IF(B105&lt;'Умови та класичний графік'!$J$14,SUM(M106:V106),"")</f>
        <v>0</v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>
        <f>IF(B105&lt;'Умови та класичний графік'!$J$14,XIRR($G$37:G106,$C$37:C106,0),"")</f>
        <v>0.34951449707031257</v>
      </c>
      <c r="X106" s="42"/>
      <c r="Y106" s="35"/>
    </row>
    <row r="107" spans="2:25" x14ac:dyDescent="0.2">
      <c r="B107" s="25">
        <v>70</v>
      </c>
      <c r="C107" s="36">
        <f>IF(B106&lt;'Умови та класичний графік'!$J$14,EDATE(C106,1),"")</f>
        <v>47423</v>
      </c>
      <c r="D107" s="36">
        <f>IF(B106&lt;'Умови та класичний графік'!$J$14,C106,"")</f>
        <v>47392</v>
      </c>
      <c r="E107" s="26">
        <f>IF(B106&lt;'Умови та класичний графік'!$J$14,C107-1,"")</f>
        <v>47422</v>
      </c>
      <c r="F107" s="37">
        <f>IF(B106&lt;'Умови та класичний графік'!$J$14,E107-D107+1,"")</f>
        <v>31</v>
      </c>
      <c r="G107" s="89">
        <f>IF(B106&lt;'Умови та класичний графік'!$J$14,J107+K107+L107,"")</f>
        <v>177822.48858447516</v>
      </c>
      <c r="H107" s="90"/>
      <c r="I107" s="32">
        <f>IF(B106&lt;'Умови та класичний графік'!$J$14,I106-J107,"")</f>
        <v>7083333.333333347</v>
      </c>
      <c r="J107" s="32">
        <f>IF(B106&lt;'Умови та класичний графік'!$J$14,J106,"")</f>
        <v>41666.666666666664</v>
      </c>
      <c r="K107" s="32">
        <f>IF(B106&lt;'Умови та класичний графік'!$J$14,((I106*'Умови та класичний графік'!$J$23)/365)*F107,"")</f>
        <v>136155.8219178085</v>
      </c>
      <c r="L107" s="30">
        <f>IF(B106&lt;'Умови та класичний графік'!$J$14,SUM(M107:V107),"")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графік'!$J$14,XIRR($G$37:G107,$C$37:C107,0),"")</f>
        <v>0.3520654736328126</v>
      </c>
      <c r="X107" s="42"/>
      <c r="Y107" s="35"/>
    </row>
    <row r="108" spans="2:25" x14ac:dyDescent="0.2">
      <c r="B108" s="25">
        <v>71</v>
      </c>
      <c r="C108" s="36">
        <f>IF(B107&lt;'Умови та класичний графік'!$J$14,EDATE(C107,1),"")</f>
        <v>47453</v>
      </c>
      <c r="D108" s="36">
        <f>IF(B107&lt;'Умови та класичний графік'!$J$14,C107,"")</f>
        <v>47423</v>
      </c>
      <c r="E108" s="26">
        <f>IF(B107&lt;'Умови та класичний графік'!$J$14,C108-1,"")</f>
        <v>47452</v>
      </c>
      <c r="F108" s="37">
        <f>IF(B107&lt;'Умови та класичний графік'!$J$14,E108-D108+1,"")</f>
        <v>30</v>
      </c>
      <c r="G108" s="89">
        <f>IF(B107&lt;'Умови та класичний графік'!$J$14,J108+K108+L108,"")</f>
        <v>172659.81735159841</v>
      </c>
      <c r="H108" s="90"/>
      <c r="I108" s="32">
        <f>IF(B107&lt;'Умови та класичний графік'!$J$14,I107-J108,"")</f>
        <v>7041666.66666668</v>
      </c>
      <c r="J108" s="32">
        <f>IF(B107&lt;'Умови та класичний графік'!$J$14,J107,"")</f>
        <v>41666.666666666664</v>
      </c>
      <c r="K108" s="32">
        <f>IF(B107&lt;'Умови та класичний графік'!$J$14,((I107*'Умови та класичний графік'!$J$23)/365)*F108,"")</f>
        <v>130993.15068493175</v>
      </c>
      <c r="L108" s="30">
        <f>IF(B107&lt;'Умови та класичний графік'!$J$14,SUM(M108:V108),"")</f>
        <v>0</v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>
        <f>IF(B107&lt;'Умови та класичний графік'!$J$14,XIRR($G$37:G108,$C$37:C108,0),"")</f>
        <v>0.35444854980468754</v>
      </c>
      <c r="X108" s="42"/>
      <c r="Y108" s="35"/>
    </row>
    <row r="109" spans="2:25" x14ac:dyDescent="0.2">
      <c r="B109" s="25">
        <v>72</v>
      </c>
      <c r="C109" s="36">
        <f>IF(B108&lt;'Умови та класичний графік'!$J$14,EDATE(C108,1),"")</f>
        <v>47484</v>
      </c>
      <c r="D109" s="36">
        <f>IF(B108&lt;'Умови та класичний графік'!$J$14,C108,"")</f>
        <v>47453</v>
      </c>
      <c r="E109" s="26">
        <f>IF(B108&lt;'Умови та класичний графік'!$J$14,C109-1,"")</f>
        <v>47483</v>
      </c>
      <c r="F109" s="37">
        <f>IF(B108&lt;'Умови та класичний графік'!$J$14,E109-D109+1,"")</f>
        <v>31</v>
      </c>
      <c r="G109" s="89">
        <f>IF(B108&lt;'Умови та класичний графік'!$J$14,J109+K109+L109,"")</f>
        <v>623230.02283105056</v>
      </c>
      <c r="H109" s="90"/>
      <c r="I109" s="32">
        <f>IF(B108&lt;'Умови та класичний графік'!$J$14,I108-J109,"")</f>
        <v>7000000.000000013</v>
      </c>
      <c r="J109" s="32">
        <f>IF(B108&lt;'Умови та класичний графік'!$J$14,J108,"")</f>
        <v>41666.666666666664</v>
      </c>
      <c r="K109" s="32">
        <f>IF(B108&lt;'Умови та класичний графік'!$J$14,((I108*'Умови та класичний графік'!$J$23)/365)*F109,"")</f>
        <v>134563.35616438382</v>
      </c>
      <c r="L109" s="30">
        <f>IF(B108&lt;'Умови та класичний графік'!$J$14,SUM(M109:V109),"")</f>
        <v>447000.00000000006</v>
      </c>
      <c r="M109" s="38"/>
      <c r="N109" s="39"/>
      <c r="O109" s="39"/>
      <c r="P109" s="32"/>
      <c r="Q109" s="40"/>
      <c r="R109" s="40"/>
      <c r="S109" s="41"/>
      <c r="T109" s="41"/>
      <c r="U109" s="33">
        <f>IF(B108&lt;'Умови та класичний графік'!$J$14,('Умови та класичний графік'!$J$15*$N$21)+(I109*$N$22),"")</f>
        <v>447000.00000000006</v>
      </c>
      <c r="V109" s="41"/>
      <c r="W109" s="43">
        <f>IF(B108&lt;'Умови та класичний графік'!$J$14,XIRR($G$37:G109,$C$37:C109,0),"")</f>
        <v>0.36258283691406268</v>
      </c>
      <c r="X109" s="42"/>
      <c r="Y109" s="35"/>
    </row>
    <row r="110" spans="2:25" x14ac:dyDescent="0.2">
      <c r="B110" s="25">
        <v>73</v>
      </c>
      <c r="C110" s="36">
        <f>IF(B109&lt;'Умови та класичний графік'!$J$14,EDATE(C109,1),"")</f>
        <v>47515</v>
      </c>
      <c r="D110" s="36">
        <f>IF(B109&lt;'Умови та класичний графік'!$J$14,C109,"")</f>
        <v>47484</v>
      </c>
      <c r="E110" s="26">
        <f>IF(B109&lt;'Умови та класичний графік'!$J$14,C110-1,"")</f>
        <v>47514</v>
      </c>
      <c r="F110" s="37">
        <f>IF(B109&lt;'Умови та класичний графік'!$J$14,E110-D110+1,"")</f>
        <v>31</v>
      </c>
      <c r="G110" s="89">
        <f>IF(B109&lt;'Умови та класичний графік'!$J$14,J110+K110+L110,"")</f>
        <v>175433.78995433814</v>
      </c>
      <c r="H110" s="90"/>
      <c r="I110" s="32">
        <f>IF(B109&lt;'Умови та класичний графік'!$J$14,I109-J110,"")</f>
        <v>6958333.3333333461</v>
      </c>
      <c r="J110" s="32">
        <f>IF(B109&lt;'Умови та класичний графік'!$J$14,J109,"")</f>
        <v>41666.666666666664</v>
      </c>
      <c r="K110" s="32">
        <f>IF(B109&lt;'Умови та класичний графік'!$J$14,((I109*'Умови та класичний графік'!$J$23)/365)*F110,"")</f>
        <v>133767.12328767148</v>
      </c>
      <c r="L110" s="30">
        <f>IF(B109&lt;'Умови та класичний графік'!$J$14,SUM(M110:V110),"")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графік'!$J$14,XIRR($G$37:G110,$C$37:C110,0),"")</f>
        <v>0.36474865722656258</v>
      </c>
      <c r="X110" s="42"/>
      <c r="Y110" s="35"/>
    </row>
    <row r="111" spans="2:25" x14ac:dyDescent="0.2">
      <c r="B111" s="25">
        <v>74</v>
      </c>
      <c r="C111" s="36">
        <f>IF(B110&lt;'Умови та класичний графік'!$J$14,EDATE(C110,1),"")</f>
        <v>47543</v>
      </c>
      <c r="D111" s="36">
        <f>IF(B110&lt;'Умови та класичний графік'!$J$14,C110,"")</f>
        <v>47515</v>
      </c>
      <c r="E111" s="26">
        <f>IF(B110&lt;'Умови та класичний графік'!$J$14,C111-1,"")</f>
        <v>47542</v>
      </c>
      <c r="F111" s="37">
        <f>IF(B110&lt;'Умови та класичний графік'!$J$14,E111-D111+1,"")</f>
        <v>28</v>
      </c>
      <c r="G111" s="89">
        <f>IF(B110&lt;'Умови та класичний графік'!$J$14,J111+K111+L111,"")</f>
        <v>161769.40639269428</v>
      </c>
      <c r="H111" s="90"/>
      <c r="I111" s="32">
        <f>IF(B110&lt;'Умови та класичний графік'!$J$14,I110-J111,"")</f>
        <v>6916666.6666666791</v>
      </c>
      <c r="J111" s="32">
        <f>IF(B110&lt;'Умови та класичний графік'!$J$14,J110,"")</f>
        <v>41666.666666666664</v>
      </c>
      <c r="K111" s="32">
        <f>IF(B110&lt;'Умови та класичний графік'!$J$14,((I110*'Умови та класичний графік'!$J$23)/365)*F111,"")</f>
        <v>120102.73972602762</v>
      </c>
      <c r="L111" s="30">
        <f>IF(B110&lt;'Умови та класичний графік'!$J$14,SUM(M111:V111),"")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графік'!$J$14,XIRR($G$37:G111,$C$37:C111,0),"")</f>
        <v>0.3666756103515626</v>
      </c>
      <c r="X111" s="42"/>
      <c r="Y111" s="35"/>
    </row>
    <row r="112" spans="2:25" x14ac:dyDescent="0.2">
      <c r="B112" s="25">
        <v>75</v>
      </c>
      <c r="C112" s="36">
        <f>IF(B111&lt;'Умови та класичний графік'!$J$14,EDATE(C111,1),"")</f>
        <v>47574</v>
      </c>
      <c r="D112" s="36">
        <f>IF(B111&lt;'Умови та класичний графік'!$J$14,C111,"")</f>
        <v>47543</v>
      </c>
      <c r="E112" s="26">
        <f>IF(B111&lt;'Умови та класичний графік'!$J$14,C112-1,"")</f>
        <v>47573</v>
      </c>
      <c r="F112" s="37">
        <f>IF(B111&lt;'Умови та класичний графік'!$J$14,E112-D112+1,"")</f>
        <v>31</v>
      </c>
      <c r="G112" s="89">
        <f>IF(B111&lt;'Умови та класичний графік'!$J$14,J112+K112+L112,"")</f>
        <v>173841.32420091348</v>
      </c>
      <c r="H112" s="90"/>
      <c r="I112" s="32">
        <f>IF(B111&lt;'Умови та класичний графік'!$J$14,I111-J112,"")</f>
        <v>6875000.0000000121</v>
      </c>
      <c r="J112" s="32">
        <f>IF(B111&lt;'Умови та класичний графік'!$J$14,J111,"")</f>
        <v>41666.666666666664</v>
      </c>
      <c r="K112" s="32">
        <f>IF(B111&lt;'Умови та класичний графік'!$J$14,((I111*'Умови та класичний графік'!$J$23)/365)*F112,"")</f>
        <v>132174.65753424683</v>
      </c>
      <c r="L112" s="30">
        <f>IF(B111&lt;'Умови та класичний графік'!$J$14,SUM(M112:V112),"")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графік'!$J$14,XIRR($G$37:G112,$C$37:C112,0),"")</f>
        <v>0.36866889160156258</v>
      </c>
      <c r="X112" s="42"/>
      <c r="Y112" s="35"/>
    </row>
    <row r="113" spans="2:25" x14ac:dyDescent="0.2">
      <c r="B113" s="25">
        <v>76</v>
      </c>
      <c r="C113" s="36">
        <f>IF(B112&lt;'Умови та класичний графік'!$J$14,EDATE(C112,1),"")</f>
        <v>47604</v>
      </c>
      <c r="D113" s="36">
        <f>IF(B112&lt;'Умови та класичний графік'!$J$14,C112,"")</f>
        <v>47574</v>
      </c>
      <c r="E113" s="26">
        <f>IF(B112&lt;'Умови та класичний графік'!$J$14,C113-1,"")</f>
        <v>47603</v>
      </c>
      <c r="F113" s="37">
        <f>IF(B112&lt;'Умови та класичний графік'!$J$14,E113-D113+1,"")</f>
        <v>30</v>
      </c>
      <c r="G113" s="89">
        <f>IF(B112&lt;'Умови та класичний графік'!$J$14,J113+K113+L113,"")</f>
        <v>168807.07762557102</v>
      </c>
      <c r="H113" s="90"/>
      <c r="I113" s="32">
        <f>IF(B112&lt;'Умови та класичний графік'!$J$14,I112-J113,"")</f>
        <v>6833333.3333333451</v>
      </c>
      <c r="J113" s="32">
        <f>IF(B112&lt;'Умови та класичний графік'!$J$14,J112,"")</f>
        <v>41666.666666666664</v>
      </c>
      <c r="K113" s="32">
        <f>IF(B112&lt;'Умови та класичний графік'!$J$14,((I112*'Умови та класичний графік'!$J$23)/365)*F113,"")</f>
        <v>127140.41095890435</v>
      </c>
      <c r="L113" s="30">
        <f>IF(B112&lt;'Умови та класичний графік'!$J$14,SUM(M113:V113),"")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графік'!$J$14,XIRR($G$37:G113,$C$37:C113,0),"")</f>
        <v>0.37053340332031259</v>
      </c>
      <c r="X113" s="42"/>
      <c r="Y113" s="35"/>
    </row>
    <row r="114" spans="2:25" x14ac:dyDescent="0.2">
      <c r="B114" s="25">
        <v>77</v>
      </c>
      <c r="C114" s="36">
        <f>IF(B113&lt;'Умови та класичний графік'!$J$14,EDATE(C113,1),"")</f>
        <v>47635</v>
      </c>
      <c r="D114" s="36">
        <f>IF(B113&lt;'Умови та класичний графік'!$J$14,C113,"")</f>
        <v>47604</v>
      </c>
      <c r="E114" s="26">
        <f>IF(B113&lt;'Умови та класичний графік'!$J$14,C114-1,"")</f>
        <v>47634</v>
      </c>
      <c r="F114" s="37">
        <f>IF(B113&lt;'Умови та класичний графік'!$J$14,E114-D114+1,"")</f>
        <v>31</v>
      </c>
      <c r="G114" s="89">
        <f>IF(B113&lt;'Умови та класичний графік'!$J$14,J114+K114+L114,"")</f>
        <v>172248.85844748883</v>
      </c>
      <c r="H114" s="90"/>
      <c r="I114" s="32">
        <f>IF(B113&lt;'Умови та класичний графік'!$J$14,I113-J114,"")</f>
        <v>6791666.6666666782</v>
      </c>
      <c r="J114" s="32">
        <f>IF(B113&lt;'Умови та класичний графік'!$J$14,J113,"")</f>
        <v>41666.666666666664</v>
      </c>
      <c r="K114" s="32">
        <f>IF(B113&lt;'Умови та класичний графік'!$J$14,((I113*'Умови та класичний графік'!$J$23)/365)*F114,"")</f>
        <v>130582.19178082216</v>
      </c>
      <c r="L114" s="30">
        <f>IF(B113&lt;'Умови та класичний графік'!$J$14,SUM(M114:V114),"")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графік'!$J$14,XIRR($G$37:G114,$C$37:C114,0),"")</f>
        <v>0.37236487792968753</v>
      </c>
      <c r="X114" s="42"/>
      <c r="Y114" s="35"/>
    </row>
    <row r="115" spans="2:25" x14ac:dyDescent="0.2">
      <c r="B115" s="25">
        <v>78</v>
      </c>
      <c r="C115" s="36">
        <f>IF(B114&lt;'Умови та класичний графік'!$J$14,EDATE(C114,1),"")</f>
        <v>47665</v>
      </c>
      <c r="D115" s="36">
        <f>IF(B114&lt;'Умови та класичний графік'!$J$14,C114,"")</f>
        <v>47635</v>
      </c>
      <c r="E115" s="26">
        <f>IF(B114&lt;'Умови та класичний графік'!$J$14,C115-1,"")</f>
        <v>47664</v>
      </c>
      <c r="F115" s="37">
        <f>IF(B114&lt;'Умови та класичний графік'!$J$14,E115-D115+1,"")</f>
        <v>30</v>
      </c>
      <c r="G115" s="89">
        <f>IF(B114&lt;'Умови та класичний графік'!$J$14,J115+K115+L115,"")</f>
        <v>167265.98173516002</v>
      </c>
      <c r="H115" s="90"/>
      <c r="I115" s="32">
        <f>IF(B114&lt;'Умови та класичний графік'!$J$14,I114-J115,"")</f>
        <v>6750000.0000000112</v>
      </c>
      <c r="J115" s="32">
        <f>IF(B114&lt;'Умови та класичний графік'!$J$14,J114,"")</f>
        <v>41666.666666666664</v>
      </c>
      <c r="K115" s="32">
        <f>IF(B114&lt;'Умови та класичний графік'!$J$14,((I114*'Умови та класичний графік'!$J$23)/365)*F115,"")</f>
        <v>125599.31506849336</v>
      </c>
      <c r="L115" s="30">
        <f>IF(B114&lt;'Умови та класичний графік'!$J$14,SUM(M115:V115),"")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графік'!$J$14,XIRR($G$37:G115,$C$37:C115,0),"")</f>
        <v>0.37407873535156255</v>
      </c>
      <c r="X115" s="42"/>
      <c r="Y115" s="35"/>
    </row>
    <row r="116" spans="2:25" x14ac:dyDescent="0.2">
      <c r="B116" s="25">
        <v>79</v>
      </c>
      <c r="C116" s="36">
        <f>IF(B115&lt;'Умови та класичний графік'!$J$14,EDATE(C115,1),"")</f>
        <v>47696</v>
      </c>
      <c r="D116" s="36">
        <f>IF(B115&lt;'Умови та класичний графік'!$J$14,C115,"")</f>
        <v>47665</v>
      </c>
      <c r="E116" s="26">
        <f>IF(B115&lt;'Умови та класичний графік'!$J$14,C116-1,"")</f>
        <v>47695</v>
      </c>
      <c r="F116" s="37">
        <f>IF(B115&lt;'Умови та класичний графік'!$J$14,E116-D116+1,"")</f>
        <v>31</v>
      </c>
      <c r="G116" s="89">
        <f>IF(B115&lt;'Умови та класичний графік'!$J$14,J116+K116+L116,"")</f>
        <v>170656.39269406415</v>
      </c>
      <c r="H116" s="90"/>
      <c r="I116" s="32">
        <f>IF(B115&lt;'Умови та класичний графік'!$J$14,I115-J116,"")</f>
        <v>6708333.3333333442</v>
      </c>
      <c r="J116" s="32">
        <f>IF(B115&lt;'Умови та класичний графік'!$J$14,J115,"")</f>
        <v>41666.666666666664</v>
      </c>
      <c r="K116" s="32">
        <f>IF(B115&lt;'Умови та класичний графік'!$J$14,((I115*'Умови та класичний графік'!$J$23)/365)*F116,"")</f>
        <v>128989.72602739748</v>
      </c>
      <c r="L116" s="30">
        <f>IF(B115&lt;'Умови та класичний графік'!$J$14,SUM(M116:V116),"")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графік'!$J$14,XIRR($G$37:G116,$C$37:C116,0),"")</f>
        <v>0.37576263183593761</v>
      </c>
      <c r="X116" s="42"/>
      <c r="Y116" s="35"/>
    </row>
    <row r="117" spans="2:25" x14ac:dyDescent="0.2">
      <c r="B117" s="25">
        <v>80</v>
      </c>
      <c r="C117" s="36">
        <f>IF(B116&lt;'Умови та класичний графік'!$J$14,EDATE(C116,1),"")</f>
        <v>47727</v>
      </c>
      <c r="D117" s="36">
        <f>IF(B116&lt;'Умови та класичний графік'!$J$14,C116,"")</f>
        <v>47696</v>
      </c>
      <c r="E117" s="26">
        <f>IF(B116&lt;'Умови та класичний графік'!$J$14,C117-1,"")</f>
        <v>47726</v>
      </c>
      <c r="F117" s="37">
        <f>IF(B116&lt;'Умови та класичний графік'!$J$14,E117-D117+1,"")</f>
        <v>31</v>
      </c>
      <c r="G117" s="89">
        <f>IF(B116&lt;'Умови та класичний графік'!$J$14,J117+K117+L117,"")</f>
        <v>169860.15981735181</v>
      </c>
      <c r="H117" s="90"/>
      <c r="I117" s="32">
        <f>IF(B116&lt;'Умови та класичний графік'!$J$14,I116-J117,"")</f>
        <v>6666666.6666666772</v>
      </c>
      <c r="J117" s="32">
        <f>IF(B116&lt;'Умови та класичний графік'!$J$14,J116,"")</f>
        <v>41666.666666666664</v>
      </c>
      <c r="K117" s="32">
        <f>IF(B116&lt;'Умови та класичний графік'!$J$14,((I116*'Умови та класичний графік'!$J$23)/365)*F117,"")</f>
        <v>128193.49315068514</v>
      </c>
      <c r="L117" s="30">
        <f>IF(B116&lt;'Умови та класичний графік'!$J$14,SUM(M117:V117),"")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графік'!$J$14,XIRR($G$37:G117,$C$37:C117,0),"")</f>
        <v>0.37737673339843758</v>
      </c>
      <c r="X117" s="42"/>
      <c r="Y117" s="35"/>
    </row>
    <row r="118" spans="2:25" x14ac:dyDescent="0.2">
      <c r="B118" s="25">
        <v>81</v>
      </c>
      <c r="C118" s="36">
        <f>IF(B117&lt;'Умови та класичний графік'!$J$14,EDATE(C117,1),"")</f>
        <v>47757</v>
      </c>
      <c r="D118" s="36">
        <f>IF(B117&lt;'Умови та класичний графік'!$J$14,C117,"")</f>
        <v>47727</v>
      </c>
      <c r="E118" s="26">
        <f>IF(B117&lt;'Умови та класичний графік'!$J$14,C118-1,"")</f>
        <v>47756</v>
      </c>
      <c r="F118" s="37">
        <f>IF(B117&lt;'Умови та класичний графік'!$J$14,E118-D118+1,"")</f>
        <v>30</v>
      </c>
      <c r="G118" s="89">
        <f>IF(B117&lt;'Умови та класичний графік'!$J$14,J118+K118+L118,"")</f>
        <v>164954.33789954355</v>
      </c>
      <c r="H118" s="90"/>
      <c r="I118" s="32">
        <f>IF(B117&lt;'Умови та класичний графік'!$J$14,I117-J118,"")</f>
        <v>6625000.0000000102</v>
      </c>
      <c r="J118" s="32">
        <f>IF(B117&lt;'Умови та класичний графік'!$J$14,J117,"")</f>
        <v>41666.666666666664</v>
      </c>
      <c r="K118" s="32">
        <f>IF(B117&lt;'Умови та класичний графік'!$J$14,((I117*'Умови та класичний графік'!$J$23)/365)*F118,"")</f>
        <v>123287.67123287689</v>
      </c>
      <c r="L118" s="30">
        <f>IF(B117&lt;'Умови та класичний графік'!$J$14,SUM(M118:V118),"")</f>
        <v>0</v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>
        <f>IF(B117&lt;'Умови та класичний графік'!$J$14,XIRR($G$37:G118,$C$37:C118,0),"")</f>
        <v>0.37888806152343757</v>
      </c>
      <c r="X118" s="42"/>
      <c r="Y118" s="35"/>
    </row>
    <row r="119" spans="2:25" x14ac:dyDescent="0.2">
      <c r="B119" s="25">
        <v>82</v>
      </c>
      <c r="C119" s="36">
        <f>IF(B118&lt;'Умови та класичний графік'!$J$14,EDATE(C118,1),"")</f>
        <v>47788</v>
      </c>
      <c r="D119" s="36">
        <f>IF(B118&lt;'Умови та класичний графік'!$J$14,C118,"")</f>
        <v>47757</v>
      </c>
      <c r="E119" s="26">
        <f>IF(B118&lt;'Умови та класичний графік'!$J$14,C119-1,"")</f>
        <v>47787</v>
      </c>
      <c r="F119" s="37">
        <f>IF(B118&lt;'Умови та класичний графік'!$J$14,E119-D119+1,"")</f>
        <v>31</v>
      </c>
      <c r="G119" s="89">
        <f>IF(B118&lt;'Умови та класичний графік'!$J$14,J119+K119+L119,"")</f>
        <v>168267.69406392713</v>
      </c>
      <c r="H119" s="90"/>
      <c r="I119" s="32">
        <f>IF(B118&lt;'Умови та класичний графік'!$J$14,I118-J119,"")</f>
        <v>6583333.3333333433</v>
      </c>
      <c r="J119" s="32">
        <f>IF(B118&lt;'Умови та класичний графік'!$J$14,J118,"")</f>
        <v>41666.666666666664</v>
      </c>
      <c r="K119" s="32">
        <f>IF(B118&lt;'Умови та класичний графік'!$J$14,((I118*'Умови та класичний графік'!$J$23)/365)*F119,"")</f>
        <v>126601.02739726048</v>
      </c>
      <c r="L119" s="30">
        <f>IF(B118&lt;'Умови та класичний графік'!$J$14,SUM(M119:V119),"")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графік'!$J$14,XIRR($G$37:G119,$C$37:C119,0),"")</f>
        <v>0.38037348144531258</v>
      </c>
      <c r="X119" s="42"/>
      <c r="Y119" s="35"/>
    </row>
    <row r="120" spans="2:25" x14ac:dyDescent="0.2">
      <c r="B120" s="25">
        <v>83</v>
      </c>
      <c r="C120" s="36">
        <f>IF(B119&lt;'Умови та класичний графік'!$J$14,EDATE(C119,1),"")</f>
        <v>47818</v>
      </c>
      <c r="D120" s="36">
        <f>IF(B119&lt;'Умови та класичний графік'!$J$14,C119,"")</f>
        <v>47788</v>
      </c>
      <c r="E120" s="26">
        <f>IF(B119&lt;'Умови та класичний графік'!$J$14,C120-1,"")</f>
        <v>47817</v>
      </c>
      <c r="F120" s="37">
        <f>IF(B119&lt;'Умови та класичний графік'!$J$14,E120-D120+1,"")</f>
        <v>30</v>
      </c>
      <c r="G120" s="89">
        <f>IF(B119&lt;'Умови та класичний графік'!$J$14,J120+K120+L120,"")</f>
        <v>163413.24200913261</v>
      </c>
      <c r="H120" s="90"/>
      <c r="I120" s="32">
        <f>IF(B119&lt;'Умови та класичний графік'!$J$14,I119-J120,"")</f>
        <v>6541666.6666666763</v>
      </c>
      <c r="J120" s="32">
        <f>IF(B119&lt;'Умови та класичний графік'!$J$14,J119,"")</f>
        <v>41666.666666666664</v>
      </c>
      <c r="K120" s="32">
        <f>IF(B119&lt;'Умови та класичний графік'!$J$14,((I119*'Умови та класичний графік'!$J$23)/365)*F120,"")</f>
        <v>121746.57534246595</v>
      </c>
      <c r="L120" s="30">
        <f>IF(B119&lt;'Умови та класичний графік'!$J$14,SUM(M120:V120),"")</f>
        <v>0</v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>
        <f>IF(B119&lt;'Умови та класичний графік'!$J$14,XIRR($G$37:G120,$C$37:C120,0),"")</f>
        <v>0.38176485839843766</v>
      </c>
      <c r="X120" s="42"/>
      <c r="Y120" s="35"/>
    </row>
    <row r="121" spans="2:25" x14ac:dyDescent="0.2">
      <c r="B121" s="25">
        <v>84</v>
      </c>
      <c r="C121" s="36">
        <f>IF(B120&lt;'Умови та класичний графік'!$J$14,EDATE(C120,1),"")</f>
        <v>47849</v>
      </c>
      <c r="D121" s="36">
        <f>IF(B120&lt;'Умови та класичний графік'!$J$14,C120,"")</f>
        <v>47818</v>
      </c>
      <c r="E121" s="26">
        <f>IF(B120&lt;'Умови та класичний графік'!$J$14,C121-1,"")</f>
        <v>47848</v>
      </c>
      <c r="F121" s="37">
        <f>IF(B120&lt;'Умови та класичний графік'!$J$14,E121-D121+1,"")</f>
        <v>31</v>
      </c>
      <c r="G121" s="89">
        <f>IF(B120&lt;'Умови та класичний графік'!$J$14,J121+K121+L121,"")</f>
        <v>612175.22831050248</v>
      </c>
      <c r="H121" s="90"/>
      <c r="I121" s="32">
        <f>IF(B120&lt;'Умови та класичний графік'!$J$14,I120-J121,"")</f>
        <v>6500000.0000000093</v>
      </c>
      <c r="J121" s="32">
        <f>IF(B120&lt;'Умови та класичний графік'!$J$14,J120,"")</f>
        <v>41666.666666666664</v>
      </c>
      <c r="K121" s="32">
        <f>IF(B120&lt;'Умови та класичний графік'!$J$14,((I120*'Умови та класичний графік'!$J$23)/365)*F121,"")</f>
        <v>125008.5616438358</v>
      </c>
      <c r="L121" s="30">
        <f>IF(B120&lt;'Умови та класичний графік'!$J$14,SUM(M121:V121),"")</f>
        <v>445500</v>
      </c>
      <c r="M121" s="38"/>
      <c r="N121" s="39"/>
      <c r="O121" s="39"/>
      <c r="P121" s="32"/>
      <c r="Q121" s="40"/>
      <c r="R121" s="40"/>
      <c r="S121" s="41"/>
      <c r="T121" s="41"/>
      <c r="U121" s="33">
        <f>IF(B120&lt;'Умови та класичний графік'!$J$14,('Умови та класичний графік'!$J$15*$N$21)+(I121*$N$22),"")</f>
        <v>445500</v>
      </c>
      <c r="V121" s="41"/>
      <c r="W121" s="43">
        <f>IF(B120&lt;'Умови та класичний графік'!$J$14,XIRR($G$37:G121,$C$37:C121,0),"")</f>
        <v>0.38672713378906265</v>
      </c>
      <c r="X121" s="42"/>
      <c r="Y121" s="35"/>
    </row>
    <row r="122" spans="2:25" x14ac:dyDescent="0.2">
      <c r="B122" s="25">
        <v>85</v>
      </c>
      <c r="C122" s="36">
        <f>IF(B121&lt;'Умови та класичний графік'!$J$14,EDATE(C121,1),"")</f>
        <v>47880</v>
      </c>
      <c r="D122" s="36">
        <f>IF(B121&lt;'Умови та класичний графік'!$J$14,C121,"")</f>
        <v>47849</v>
      </c>
      <c r="E122" s="26">
        <f>IF(B121&lt;'Умови та класичний графік'!$J$14,C122-1,"")</f>
        <v>47879</v>
      </c>
      <c r="F122" s="37">
        <f>IF(B121&lt;'Умови та класичний графік'!$J$14,E122-D122+1,"")</f>
        <v>31</v>
      </c>
      <c r="G122" s="89">
        <f>IF(B121&lt;'Умови та класичний графік'!$J$14,J122+K122+L122,"")</f>
        <v>165878.99543379014</v>
      </c>
      <c r="H122" s="90"/>
      <c r="I122" s="32">
        <f>IF(B121&lt;'Умови та класичний графік'!$J$14,I121-J122,"")</f>
        <v>6458333.3333333423</v>
      </c>
      <c r="J122" s="32">
        <f>IF(B121&lt;'Умови та класичний графік'!$J$14,J121,"")</f>
        <v>41666.666666666664</v>
      </c>
      <c r="K122" s="32">
        <f>IF(B121&lt;'Умови та класичний графік'!$J$14,((I121*'Умови та класичний графік'!$J$23)/365)*F122,"")</f>
        <v>124212.32876712347</v>
      </c>
      <c r="L122" s="30">
        <f>IF(B121&lt;'Умови та класичний графік'!$J$14,SUM(M122:V122),"")</f>
        <v>0</v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>
        <f>IF(B121&lt;'Умови та класичний графік'!$J$14,XIRR($G$37:G122,$C$37:C122,0),"")</f>
        <v>0.38800740722656257</v>
      </c>
      <c r="X122" s="42"/>
      <c r="Y122" s="35"/>
    </row>
    <row r="123" spans="2:25" x14ac:dyDescent="0.2">
      <c r="B123" s="25">
        <v>86</v>
      </c>
      <c r="C123" s="36">
        <f>IF(B122&lt;'Умови та класичний графік'!$J$14,EDATE(C122,1),"")</f>
        <v>47908</v>
      </c>
      <c r="D123" s="36">
        <f>IF(B122&lt;'Умови та класичний графік'!$J$14,C122,"")</f>
        <v>47880</v>
      </c>
      <c r="E123" s="26">
        <f>IF(B122&lt;'Умови та класичний графік'!$J$14,C123-1,"")</f>
        <v>47907</v>
      </c>
      <c r="F123" s="37">
        <f>IF(B122&lt;'Умови та класичний графік'!$J$14,E123-D123+1,"")</f>
        <v>28</v>
      </c>
      <c r="G123" s="89">
        <f>IF(B122&lt;'Умови та класичний графік'!$J$14,J123+K123+L123,"")</f>
        <v>153139.26940639285</v>
      </c>
      <c r="H123" s="90"/>
      <c r="I123" s="32">
        <f>IF(B122&lt;'Умови та класичний графік'!$J$14,I122-J123,"")</f>
        <v>6416666.6666666754</v>
      </c>
      <c r="J123" s="32">
        <f>IF(B122&lt;'Умови та класичний графік'!$J$14,J122,"")</f>
        <v>41666.666666666664</v>
      </c>
      <c r="K123" s="32">
        <f>IF(B122&lt;'Умови та класичний графік'!$J$14,((I122*'Умови та класичний графік'!$J$23)/365)*F123,"")</f>
        <v>111472.60273972619</v>
      </c>
      <c r="L123" s="30">
        <f>IF(B122&lt;'Умови та класичний графік'!$J$14,SUM(M123:V123),"")</f>
        <v>0</v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>
        <f>IF(B122&lt;'Умови та класичний графік'!$J$14,XIRR($G$37:G123,$C$37:C123,0),"")</f>
        <v>0.38915033691406264</v>
      </c>
      <c r="X123" s="42"/>
      <c r="Y123" s="35"/>
    </row>
    <row r="124" spans="2:25" x14ac:dyDescent="0.2">
      <c r="B124" s="25">
        <v>87</v>
      </c>
      <c r="C124" s="36">
        <f>IF(B123&lt;'Умови та класичний графік'!$J$14,EDATE(C123,1),"")</f>
        <v>47939</v>
      </c>
      <c r="D124" s="36">
        <f>IF(B123&lt;'Умови та класичний графік'!$J$14,C123,"")</f>
        <v>47908</v>
      </c>
      <c r="E124" s="26">
        <f>IF(B123&lt;'Умови та класичний графік'!$J$14,C124-1,"")</f>
        <v>47938</v>
      </c>
      <c r="F124" s="37">
        <f>IF(B123&lt;'Умови та класичний графік'!$J$14,E124-D124+1,"")</f>
        <v>31</v>
      </c>
      <c r="G124" s="89">
        <f>IF(B123&lt;'Умови та класичний графік'!$J$14,J124+K124+L124,"")</f>
        <v>164286.52968036546</v>
      </c>
      <c r="H124" s="90"/>
      <c r="I124" s="32">
        <f>IF(B123&lt;'Умови та класичний графік'!$J$14,I123-J124,"")</f>
        <v>6375000.0000000084</v>
      </c>
      <c r="J124" s="32">
        <f>IF(B123&lt;'Умови та класичний графік'!$J$14,J123,"")</f>
        <v>41666.666666666664</v>
      </c>
      <c r="K124" s="32">
        <f>IF(B123&lt;'Умови та класичний графік'!$J$14,((I123*'Умови та класичний графік'!$J$23)/365)*F124,"")</f>
        <v>122619.86301369881</v>
      </c>
      <c r="L124" s="30">
        <f>IF(B123&lt;'Умови та класичний графік'!$J$14,SUM(M124:V124),"")</f>
        <v>0</v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>
        <f>IF(B123&lt;'Умови та класичний графік'!$J$14,XIRR($G$37:G124,$C$37:C124,0),"")</f>
        <v>0.39033299316406256</v>
      </c>
      <c r="X124" s="42"/>
      <c r="Y124" s="35"/>
    </row>
    <row r="125" spans="2:25" x14ac:dyDescent="0.2">
      <c r="B125" s="25">
        <v>88</v>
      </c>
      <c r="C125" s="36">
        <f>IF(B124&lt;'Умови та класичний графік'!$J$14,EDATE(C124,1),"")</f>
        <v>47969</v>
      </c>
      <c r="D125" s="36">
        <f>IF(B124&lt;'Умови та класичний графік'!$J$14,C124,"")</f>
        <v>47939</v>
      </c>
      <c r="E125" s="26">
        <f>IF(B124&lt;'Умови та класичний графік'!$J$14,C125-1,"")</f>
        <v>47968</v>
      </c>
      <c r="F125" s="37">
        <f>IF(B124&lt;'Умови та класичний графік'!$J$14,E125-D125+1,"")</f>
        <v>30</v>
      </c>
      <c r="G125" s="89">
        <f>IF(B124&lt;'Умови та класичний графік'!$J$14,J125+K125+L125,"")</f>
        <v>159560.50228310519</v>
      </c>
      <c r="H125" s="90"/>
      <c r="I125" s="32">
        <f>IF(B124&lt;'Умови та класичний графік'!$J$14,I124-J125,"")</f>
        <v>6333333.3333333414</v>
      </c>
      <c r="J125" s="32">
        <f>IF(B124&lt;'Умови та класичний графік'!$J$14,J124,"")</f>
        <v>41666.666666666664</v>
      </c>
      <c r="K125" s="32">
        <f>IF(B124&lt;'Умови та класичний графік'!$J$14,((I124*'Умови та класичний графік'!$J$23)/365)*F125,"")</f>
        <v>117893.83561643852</v>
      </c>
      <c r="L125" s="30">
        <f>IF(B124&lt;'Умови та класичний графік'!$J$14,SUM(M125:V125),"")</f>
        <v>0</v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>
        <f>IF(B124&lt;'Умови та класичний графік'!$J$14,XIRR($G$37:G125,$C$37:C125,0),"")</f>
        <v>0.39144183105468755</v>
      </c>
      <c r="X125" s="42"/>
      <c r="Y125" s="35"/>
    </row>
    <row r="126" spans="2:25" x14ac:dyDescent="0.2">
      <c r="B126" s="25">
        <v>89</v>
      </c>
      <c r="C126" s="36">
        <f>IF(B125&lt;'Умови та класичний графік'!$J$14,EDATE(C125,1),"")</f>
        <v>48000</v>
      </c>
      <c r="D126" s="36">
        <f>IF(B125&lt;'Умови та класичний графік'!$J$14,C125,"")</f>
        <v>47969</v>
      </c>
      <c r="E126" s="26">
        <f>IF(B125&lt;'Умови та класичний графік'!$J$14,C126-1,"")</f>
        <v>47999</v>
      </c>
      <c r="F126" s="37">
        <f>IF(B125&lt;'Умови та класичний графік'!$J$14,E126-D126+1,"")</f>
        <v>31</v>
      </c>
      <c r="G126" s="89">
        <f>IF(B125&lt;'Умови та класичний графік'!$J$14,J126+K126+L126,"")</f>
        <v>162694.06392694081</v>
      </c>
      <c r="H126" s="90"/>
      <c r="I126" s="32">
        <f>IF(B125&lt;'Умови та класичний графік'!$J$14,I125-J126,"")</f>
        <v>6291666.6666666744</v>
      </c>
      <c r="J126" s="32">
        <f>IF(B125&lt;'Умови та класичний графік'!$J$14,J125,"")</f>
        <v>41666.666666666664</v>
      </c>
      <c r="K126" s="32">
        <f>IF(B125&lt;'Умови та класичний графік'!$J$14,((I125*'Умови та класичний графік'!$J$23)/365)*F126,"")</f>
        <v>121027.39726027414</v>
      </c>
      <c r="L126" s="30">
        <f>IF(B125&lt;'Умови та класичний графік'!$J$14,SUM(M126:V126),"")</f>
        <v>0</v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>
        <f>IF(B125&lt;'Умови та класичний графік'!$J$14,XIRR($G$37:G126,$C$37:C126,0),"")</f>
        <v>0.39253244628906248</v>
      </c>
      <c r="X126" s="42"/>
      <c r="Y126" s="35"/>
    </row>
    <row r="127" spans="2:25" x14ac:dyDescent="0.2">
      <c r="B127" s="25">
        <v>90</v>
      </c>
      <c r="C127" s="36">
        <f>IF(B126&lt;'Умови та класичний графік'!$J$14,EDATE(C126,1),"")</f>
        <v>48030</v>
      </c>
      <c r="D127" s="36">
        <f>IF(B126&lt;'Умови та класичний графік'!$J$14,C126,"")</f>
        <v>48000</v>
      </c>
      <c r="E127" s="26">
        <f>IF(B126&lt;'Умови та класичний графік'!$J$14,C127-1,"")</f>
        <v>48029</v>
      </c>
      <c r="F127" s="37">
        <f>IF(B126&lt;'Умови та класичний графік'!$J$14,E127-D127+1,"")</f>
        <v>30</v>
      </c>
      <c r="G127" s="89">
        <f>IF(B126&lt;'Умови та класичний графік'!$J$14,J127+K127+L127,"")</f>
        <v>158019.40639269422</v>
      </c>
      <c r="H127" s="90"/>
      <c r="I127" s="32">
        <f>IF(B126&lt;'Умови та класичний графік'!$J$14,I126-J127,"")</f>
        <v>6250000.0000000075</v>
      </c>
      <c r="J127" s="32">
        <f>IF(B126&lt;'Умови та класичний графік'!$J$14,J126,"")</f>
        <v>41666.666666666664</v>
      </c>
      <c r="K127" s="32">
        <f>IF(B126&lt;'Умови та класичний графік'!$J$14,((I126*'Умови та класичний графік'!$J$23)/365)*F127,"")</f>
        <v>116352.73972602755</v>
      </c>
      <c r="L127" s="30">
        <f>IF(B126&lt;'Умови та класичний графік'!$J$14,SUM(M127:V127),"")</f>
        <v>0</v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>
        <f>IF(B126&lt;'Умови та класичний графік'!$J$14,XIRR($G$37:G127,$C$37:C127,0),"")</f>
        <v>0.39355531738281258</v>
      </c>
      <c r="X127" s="42"/>
      <c r="Y127" s="35"/>
    </row>
    <row r="128" spans="2:25" x14ac:dyDescent="0.2">
      <c r="B128" s="25">
        <v>91</v>
      </c>
      <c r="C128" s="36">
        <f>IF(B127&lt;'Умови та класичний графік'!$J$14,EDATE(C127,1),"")</f>
        <v>48061</v>
      </c>
      <c r="D128" s="36">
        <f>IF(B127&lt;'Умови та класичний графік'!$J$14,C127,"")</f>
        <v>48030</v>
      </c>
      <c r="E128" s="26">
        <f>IF(B127&lt;'Умови та класичний графік'!$J$14,C128-1,"")</f>
        <v>48060</v>
      </c>
      <c r="F128" s="37">
        <f>IF(B127&lt;'Умови та класичний графік'!$J$14,E128-D128+1,"")</f>
        <v>31</v>
      </c>
      <c r="G128" s="89">
        <f>IF(B127&lt;'Умови та класичний графік'!$J$14,J128+K128+L128,"")</f>
        <v>161101.5981735161</v>
      </c>
      <c r="H128" s="90"/>
      <c r="I128" s="32">
        <f>IF(B127&lt;'Умови та класичний графік'!$J$14,I127-J128,"")</f>
        <v>6208333.3333333405</v>
      </c>
      <c r="J128" s="32">
        <f>IF(B127&lt;'Умови та класичний графік'!$J$14,J127,"")</f>
        <v>41666.666666666664</v>
      </c>
      <c r="K128" s="32">
        <f>IF(B127&lt;'Умови та класичний графік'!$J$14,((I127*'Умови та класичний графік'!$J$23)/365)*F128,"")</f>
        <v>119434.93150684945</v>
      </c>
      <c r="L128" s="30">
        <f>IF(B127&lt;'Умови та класичний графік'!$J$14,SUM(M128:V128),"")</f>
        <v>0</v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>
        <f>IF(B127&lt;'Умови та класичний графік'!$J$14,XIRR($G$37:G128,$C$37:C128,0),"")</f>
        <v>0.39456153808593752</v>
      </c>
      <c r="X128" s="42"/>
      <c r="Y128" s="35"/>
    </row>
    <row r="129" spans="2:25" x14ac:dyDescent="0.2">
      <c r="B129" s="25">
        <v>92</v>
      </c>
      <c r="C129" s="36">
        <f>IF(B128&lt;'Умови та класичний графік'!$J$14,EDATE(C128,1),"")</f>
        <v>48092</v>
      </c>
      <c r="D129" s="36">
        <f>IF(B128&lt;'Умови та класичний графік'!$J$14,C128,"")</f>
        <v>48061</v>
      </c>
      <c r="E129" s="26">
        <f>IF(B128&lt;'Умови та класичний графік'!$J$14,C129-1,"")</f>
        <v>48091</v>
      </c>
      <c r="F129" s="37">
        <f>IF(B128&lt;'Умови та класичний графік'!$J$14,E129-D129+1,"")</f>
        <v>31</v>
      </c>
      <c r="G129" s="89">
        <f>IF(B128&lt;'Умови та класичний графік'!$J$14,J129+K129+L129,"")</f>
        <v>160305.36529680379</v>
      </c>
      <c r="H129" s="90"/>
      <c r="I129" s="32">
        <f>IF(B128&lt;'Умови та класичний графік'!$J$14,I128-J129,"")</f>
        <v>6166666.6666666735</v>
      </c>
      <c r="J129" s="32">
        <f>IF(B128&lt;'Умови та класичний графік'!$J$14,J128,"")</f>
        <v>41666.666666666664</v>
      </c>
      <c r="K129" s="32">
        <f>IF(B128&lt;'Умови та класичний графік'!$J$14,((I128*'Умови та класичний графік'!$J$23)/365)*F129,"")</f>
        <v>118638.69863013714</v>
      </c>
      <c r="L129" s="30">
        <f>IF(B128&lt;'Умови та класичний графік'!$J$14,SUM(M129:V129),"")</f>
        <v>0</v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>
        <f>IF(B128&lt;'Умови та класичний графік'!$J$14,XIRR($G$37:G129,$C$37:C129,0),"")</f>
        <v>0.39552768066406252</v>
      </c>
      <c r="X129" s="42"/>
      <c r="Y129" s="35"/>
    </row>
    <row r="130" spans="2:25" x14ac:dyDescent="0.2">
      <c r="B130" s="25">
        <v>93</v>
      </c>
      <c r="C130" s="36">
        <f>IF(B129&lt;'Умови та класичний графік'!$J$14,EDATE(C129,1),"")</f>
        <v>48122</v>
      </c>
      <c r="D130" s="36">
        <f>IF(B129&lt;'Умови та класичний графік'!$J$14,C129,"")</f>
        <v>48092</v>
      </c>
      <c r="E130" s="26">
        <f>IF(B129&lt;'Умови та класичний графік'!$J$14,C130-1,"")</f>
        <v>48121</v>
      </c>
      <c r="F130" s="37">
        <f>IF(B129&lt;'Умови та класичний графік'!$J$14,E130-D130+1,"")</f>
        <v>30</v>
      </c>
      <c r="G130" s="89">
        <f>IF(B129&lt;'Умови та класичний графік'!$J$14,J130+K130+L130,"")</f>
        <v>155707.76255707777</v>
      </c>
      <c r="H130" s="90"/>
      <c r="I130" s="32">
        <f>IF(B129&lt;'Умови та класичний графік'!$J$14,I129-J130,"")</f>
        <v>6125000.0000000065</v>
      </c>
      <c r="J130" s="32">
        <f>IF(B129&lt;'Умови та класичний графік'!$J$14,J129,"")</f>
        <v>41666.666666666664</v>
      </c>
      <c r="K130" s="32">
        <f>IF(B129&lt;'Умови та класичний графік'!$J$14,((I129*'Умови та класичний графік'!$J$23)/365)*F130,"")</f>
        <v>114041.0958904111</v>
      </c>
      <c r="L130" s="30">
        <f>IF(B129&lt;'Умови та класичний графік'!$J$14,SUM(M130:V130),"")</f>
        <v>0</v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>
        <f>IF(B129&lt;'Умови та класичний графік'!$J$14,XIRR($G$37:G130,$C$37:C130,0),"")</f>
        <v>0.39643424316406262</v>
      </c>
      <c r="X130" s="42"/>
      <c r="Y130" s="35"/>
    </row>
    <row r="131" spans="2:25" x14ac:dyDescent="0.2">
      <c r="B131" s="25">
        <v>94</v>
      </c>
      <c r="C131" s="36">
        <f>IF(B130&lt;'Умови та класичний графік'!$J$14,EDATE(C130,1),"")</f>
        <v>48153</v>
      </c>
      <c r="D131" s="36">
        <f>IF(B130&lt;'Умови та класичний графік'!$J$14,C130,"")</f>
        <v>48122</v>
      </c>
      <c r="E131" s="26">
        <f>IF(B130&lt;'Умови та класичний графік'!$J$14,C131-1,"")</f>
        <v>48152</v>
      </c>
      <c r="F131" s="37">
        <f>IF(B130&lt;'Умови та класичний графік'!$J$14,E131-D131+1,"")</f>
        <v>31</v>
      </c>
      <c r="G131" s="89">
        <f>IF(B130&lt;'Умови та класичний графік'!$J$14,J131+K131+L131,"")</f>
        <v>158712.89954337911</v>
      </c>
      <c r="H131" s="90"/>
      <c r="I131" s="32">
        <f>IF(B130&lt;'Умови та класичний графік'!$J$14,I130-J131,"")</f>
        <v>6083333.3333333395</v>
      </c>
      <c r="J131" s="32">
        <f>IF(B130&lt;'Умови та класичний графік'!$J$14,J130,"")</f>
        <v>41666.666666666664</v>
      </c>
      <c r="K131" s="32">
        <f>IF(B130&lt;'Умови та класичний графік'!$J$14,((I130*'Умови та класичний графік'!$J$23)/365)*F131,"")</f>
        <v>117046.23287671244</v>
      </c>
      <c r="L131" s="30">
        <f>IF(B130&lt;'Умови та класичний графік'!$J$14,SUM(M131:V131),"")</f>
        <v>0</v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>
        <f>IF(B130&lt;'Умови та класичний графік'!$J$14,XIRR($G$37:G131,$C$37:C131,0),"")</f>
        <v>0.39732622558593755</v>
      </c>
      <c r="X131" s="42"/>
      <c r="Y131" s="35"/>
    </row>
    <row r="132" spans="2:25" x14ac:dyDescent="0.2">
      <c r="B132" s="25">
        <v>95</v>
      </c>
      <c r="C132" s="36">
        <f>IF(B131&lt;'Умови та класичний графік'!$J$14,EDATE(C131,1),"")</f>
        <v>48183</v>
      </c>
      <c r="D132" s="36">
        <f>IF(B131&lt;'Умови та класичний графік'!$J$14,C131,"")</f>
        <v>48153</v>
      </c>
      <c r="E132" s="26">
        <f>IF(B131&lt;'Умови та класичний графік'!$J$14,C132-1,"")</f>
        <v>48182</v>
      </c>
      <c r="F132" s="37">
        <f>IF(B131&lt;'Умови та класичний графік'!$J$14,E132-D132+1,"")</f>
        <v>30</v>
      </c>
      <c r="G132" s="89">
        <f>IF(B131&lt;'Умови та класичний графік'!$J$14,J132+K132+L132,"")</f>
        <v>154166.66666666677</v>
      </c>
      <c r="H132" s="90"/>
      <c r="I132" s="32">
        <f>IF(B131&lt;'Умови та класичний графік'!$J$14,I131-J132,"")</f>
        <v>6041666.6666666726</v>
      </c>
      <c r="J132" s="32">
        <f>IF(B131&lt;'Умови та класичний графік'!$J$14,J131,"")</f>
        <v>41666.666666666664</v>
      </c>
      <c r="K132" s="32">
        <f>IF(B131&lt;'Умови та класичний графік'!$J$14,((I131*'Умови та класичний графік'!$J$23)/365)*F132,"")</f>
        <v>112500.00000000012</v>
      </c>
      <c r="L132" s="30">
        <f>IF(B131&lt;'Умови та класичний графік'!$J$14,SUM(M132:V132),"")</f>
        <v>0</v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>
        <f>IF(B131&lt;'Умови та класичний графік'!$J$14,XIRR($G$37:G132,$C$37:C132,0),"")</f>
        <v>0.3981634619140626</v>
      </c>
      <c r="X132" s="42"/>
      <c r="Y132" s="35"/>
    </row>
    <row r="133" spans="2:25" x14ac:dyDescent="0.2">
      <c r="B133" s="25">
        <v>96</v>
      </c>
      <c r="C133" s="36">
        <f>IF(B132&lt;'Умови та класичний графік'!$J$14,EDATE(C132,1),"")</f>
        <v>48214</v>
      </c>
      <c r="D133" s="36">
        <f>IF(B132&lt;'Умови та класичний графік'!$J$14,C132,"")</f>
        <v>48183</v>
      </c>
      <c r="E133" s="26">
        <f>IF(B132&lt;'Умови та класичний графік'!$J$14,C133-1,"")</f>
        <v>48213</v>
      </c>
      <c r="F133" s="37">
        <f>IF(B132&lt;'Умови та класичний графік'!$J$14,E133-D133+1,"")</f>
        <v>31</v>
      </c>
      <c r="G133" s="89">
        <f>IF(B132&lt;'Умови та класичний графік'!$J$14,J133+K133+L133,"")</f>
        <v>601120.4337899544</v>
      </c>
      <c r="H133" s="90"/>
      <c r="I133" s="32">
        <f>IF(B132&lt;'Умови та класичний графік'!$J$14,I132-J133,"")</f>
        <v>6000000.0000000056</v>
      </c>
      <c r="J133" s="32">
        <f>IF(B132&lt;'Умови та класичний графік'!$J$14,J132,"")</f>
        <v>41666.666666666664</v>
      </c>
      <c r="K133" s="32">
        <f>IF(B132&lt;'Умови та класичний графік'!$J$14,((I132*'Умови та класичний графік'!$J$23)/365)*F133,"")</f>
        <v>115453.76712328778</v>
      </c>
      <c r="L133" s="30">
        <f>IF(B132&lt;'Умови та класичний графік'!$J$14,SUM(M133:V133),"")</f>
        <v>444000</v>
      </c>
      <c r="M133" s="38"/>
      <c r="N133" s="39"/>
      <c r="O133" s="39"/>
      <c r="P133" s="32"/>
      <c r="Q133" s="40"/>
      <c r="R133" s="40"/>
      <c r="S133" s="41"/>
      <c r="T133" s="41"/>
      <c r="U133" s="33">
        <f>IF(B132&lt;'Умови та класичний графік'!$J$14,('Умови та класичний графік'!$J$15*$N$21)+(I133*$N$22),"")</f>
        <v>444000</v>
      </c>
      <c r="V133" s="41"/>
      <c r="W133" s="43">
        <f>IF(B132&lt;'Умови та класичний графік'!$J$14,XIRR($G$37:G133,$C$37:C133,0),"")</f>
        <v>0.40128658691406272</v>
      </c>
      <c r="X133" s="42"/>
      <c r="Y133" s="35"/>
    </row>
    <row r="134" spans="2:25" x14ac:dyDescent="0.2">
      <c r="B134" s="25">
        <v>97</v>
      </c>
      <c r="C134" s="36">
        <f>IF(B133&lt;'Умови та класичний графік'!$J$14,EDATE(C133,1),"")</f>
        <v>48245</v>
      </c>
      <c r="D134" s="36">
        <f>IF(B133&lt;'Умови та класичний графік'!$J$14,C133,"")</f>
        <v>48214</v>
      </c>
      <c r="E134" s="26">
        <f>IF(B133&lt;'Умови та класичний графік'!$J$14,C134-1,"")</f>
        <v>48244</v>
      </c>
      <c r="F134" s="37">
        <f>IF(B133&lt;'Умови та класичний графік'!$J$14,E134-D134+1,"")</f>
        <v>31</v>
      </c>
      <c r="G134" s="89">
        <f>IF(B133&lt;'Умови та класичний графік'!$J$14,J134+K134+L134,"")</f>
        <v>156324.20091324212</v>
      </c>
      <c r="H134" s="90"/>
      <c r="I134" s="32">
        <f>IF(B133&lt;'Умови та класичний графік'!$J$14,I133-J134,"")</f>
        <v>5958333.3333333386</v>
      </c>
      <c r="J134" s="32">
        <f>IF(B133&lt;'Умови та класичний графік'!$J$14,J133,"")</f>
        <v>41666.666666666664</v>
      </c>
      <c r="K134" s="32">
        <f>IF(B133&lt;'Умови та класичний графік'!$J$14,((I133*'Умови та класичний графік'!$J$23)/365)*F134,"")</f>
        <v>114657.53424657547</v>
      </c>
      <c r="L134" s="30">
        <f>IF(B133&lt;'Умови та класичний графік'!$J$14,SUM(M134:V134),"")</f>
        <v>0</v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>
        <f>IF(B133&lt;'Умови та класичний графік'!$J$14,XIRR($G$37:G134,$C$37:C134,0),"")</f>
        <v>0.4020636376953125</v>
      </c>
      <c r="X134" s="42"/>
      <c r="Y134" s="35"/>
    </row>
    <row r="135" spans="2:25" x14ac:dyDescent="0.2">
      <c r="B135" s="25">
        <v>98</v>
      </c>
      <c r="C135" s="36">
        <f>IF(B134&lt;'Умови та класичний графік'!$J$14,EDATE(C134,1),"")</f>
        <v>48274</v>
      </c>
      <c r="D135" s="36">
        <f>IF(B134&lt;'Умови та класичний графік'!$J$14,C134,"")</f>
        <v>48245</v>
      </c>
      <c r="E135" s="26">
        <f>IF(B134&lt;'Умови та класичний графік'!$J$14,C135-1,"")</f>
        <v>48273</v>
      </c>
      <c r="F135" s="37">
        <f>IF(B134&lt;'Умови та класичний графік'!$J$14,E135-D135+1,"")</f>
        <v>29</v>
      </c>
      <c r="G135" s="89">
        <f>IF(B134&lt;'Умови та класичний графік'!$J$14,J135+K135+L135,"")</f>
        <v>148182.07762557088</v>
      </c>
      <c r="H135" s="90"/>
      <c r="I135" s="32">
        <f>IF(B134&lt;'Умови та класичний графік'!$J$14,I134-J135,"")</f>
        <v>5916666.6666666716</v>
      </c>
      <c r="J135" s="32">
        <f>IF(B134&lt;'Умови та класичний графік'!$J$14,J134,"")</f>
        <v>41666.666666666664</v>
      </c>
      <c r="K135" s="32">
        <f>IF(B134&lt;'Умови та класичний графік'!$J$14,((I134*'Умови та класичний графік'!$J$23)/365)*F135,"")</f>
        <v>106515.41095890421</v>
      </c>
      <c r="L135" s="30">
        <f>IF(B134&lt;'Умови та класичний графік'!$J$14,SUM(M135:V135),"")</f>
        <v>0</v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>
        <f>IF(B134&lt;'Умови та класичний графік'!$J$14,XIRR($G$37:G135,$C$37:C135,0),"")</f>
        <v>0.40277639160156253</v>
      </c>
      <c r="X135" s="42"/>
      <c r="Y135" s="35"/>
    </row>
    <row r="136" spans="2:25" x14ac:dyDescent="0.2">
      <c r="B136" s="25">
        <v>99</v>
      </c>
      <c r="C136" s="36">
        <f>IF(B135&lt;'Умови та класичний графік'!$J$14,EDATE(C135,1),"")</f>
        <v>48305</v>
      </c>
      <c r="D136" s="36">
        <f>IF(B135&lt;'Умови та класичний графік'!$J$14,C135,"")</f>
        <v>48274</v>
      </c>
      <c r="E136" s="26">
        <f>IF(B135&lt;'Умови та класичний графік'!$J$14,C136-1,"")</f>
        <v>48304</v>
      </c>
      <c r="F136" s="37">
        <f>IF(B135&lt;'Умови та класичний графік'!$J$14,E136-D136+1,"")</f>
        <v>31</v>
      </c>
      <c r="G136" s="89">
        <f>IF(B135&lt;'Умови та класичний графік'!$J$14,J136+K136+L136,"")</f>
        <v>154731.73515981744</v>
      </c>
      <c r="H136" s="90"/>
      <c r="I136" s="32">
        <f>IF(B135&lt;'Умови та класичний графік'!$J$14,I135-J136,"")</f>
        <v>5875000.0000000047</v>
      </c>
      <c r="J136" s="32">
        <f>IF(B135&lt;'Умови та класичний графік'!$J$14,J135,"")</f>
        <v>41666.666666666664</v>
      </c>
      <c r="K136" s="32">
        <f>IF(B135&lt;'Умови та класичний графік'!$J$14,((I135*'Умови та класичний графік'!$J$23)/365)*F136,"")</f>
        <v>113065.06849315079</v>
      </c>
      <c r="L136" s="30">
        <f>IF(B135&lt;'Умови та класичний графік'!$J$14,SUM(M136:V136),"")</f>
        <v>0</v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>
        <f>IF(B135&lt;'Умови та класичний графік'!$J$14,XIRR($G$37:G136,$C$37:C136,0),"")</f>
        <v>0.40349531738281252</v>
      </c>
      <c r="X136" s="42"/>
      <c r="Y136" s="35"/>
    </row>
    <row r="137" spans="2:25" x14ac:dyDescent="0.2">
      <c r="B137" s="25">
        <v>100</v>
      </c>
      <c r="C137" s="36">
        <f>IF(B136&lt;'Умови та класичний графік'!$J$14,EDATE(C136,1),"")</f>
        <v>48335</v>
      </c>
      <c r="D137" s="36">
        <f>IF(B136&lt;'Умови та класичний графік'!$J$14,C136,"")</f>
        <v>48305</v>
      </c>
      <c r="E137" s="26">
        <f>IF(B136&lt;'Умови та класичний графік'!$J$14,C137-1,"")</f>
        <v>48334</v>
      </c>
      <c r="F137" s="37">
        <f>IF(B136&lt;'Умови та класичний графік'!$J$14,E137-D137+1,"")</f>
        <v>30</v>
      </c>
      <c r="G137" s="89">
        <f>IF(B136&lt;'Умови та класичний графік'!$J$14,J137+K137+L137,"")</f>
        <v>150313.92694063936</v>
      </c>
      <c r="H137" s="90"/>
      <c r="I137" s="32">
        <f>IF(B136&lt;'Умови та класичний графік'!$J$14,I136-J137,"")</f>
        <v>5833333.3333333377</v>
      </c>
      <c r="J137" s="32">
        <f>IF(B136&lt;'Умови та класичний графік'!$J$14,J136,"")</f>
        <v>41666.666666666664</v>
      </c>
      <c r="K137" s="32">
        <f>IF(B136&lt;'Умови та класичний графік'!$J$14,((I136*'Умови та класичний графік'!$J$23)/365)*F137,"")</f>
        <v>108647.26027397269</v>
      </c>
      <c r="L137" s="30">
        <f>IF(B136&lt;'Умови та класичний графік'!$J$14,SUM(M137:V137),"")</f>
        <v>0</v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>
        <f>IF(B136&lt;'Умови та класичний графік'!$J$14,XIRR($G$37:G137,$C$37:C137,0),"")</f>
        <v>0.40417061035156265</v>
      </c>
      <c r="X137" s="42"/>
      <c r="Y137" s="35"/>
    </row>
    <row r="138" spans="2:25" x14ac:dyDescent="0.2">
      <c r="B138" s="25">
        <v>101</v>
      </c>
      <c r="C138" s="36">
        <f>IF(B137&lt;'Умови та класичний графік'!$J$14,EDATE(C137,1),"")</f>
        <v>48366</v>
      </c>
      <c r="D138" s="36">
        <f>IF(B137&lt;'Умови та класичний графік'!$J$14,C137,"")</f>
        <v>48335</v>
      </c>
      <c r="E138" s="26">
        <f>IF(B137&lt;'Умови та класичний графік'!$J$14,C138-1,"")</f>
        <v>48365</v>
      </c>
      <c r="F138" s="37">
        <f>IF(B137&lt;'Умови та класичний графік'!$J$14,E138-D138+1,"")</f>
        <v>31</v>
      </c>
      <c r="G138" s="89">
        <f>IF(B137&lt;'Умови та класичний графік'!$J$14,J138+K138+L138,"")</f>
        <v>153139.26940639276</v>
      </c>
      <c r="H138" s="90"/>
      <c r="I138" s="32">
        <f>IF(B137&lt;'Умови та класичний графік'!$J$14,I137-J138,"")</f>
        <v>5791666.6666666707</v>
      </c>
      <c r="J138" s="32">
        <f>IF(B137&lt;'Умови та класичний графік'!$J$14,J137,"")</f>
        <v>41666.666666666664</v>
      </c>
      <c r="K138" s="32">
        <f>IF(B137&lt;'Умови та класичний графік'!$J$14,((I137*'Умови та класичний графік'!$J$23)/365)*F138,"")</f>
        <v>111472.60273972611</v>
      </c>
      <c r="L138" s="30">
        <f>IF(B137&lt;'Умови та класичний графік'!$J$14,SUM(M138:V138),"")</f>
        <v>0</v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>
        <f>IF(B137&lt;'Умови та класичний графік'!$J$14,XIRR($G$37:G138,$C$37:C138,0),"")</f>
        <v>0.40483527832031252</v>
      </c>
      <c r="X138" s="42"/>
      <c r="Y138" s="35"/>
    </row>
    <row r="139" spans="2:25" x14ac:dyDescent="0.2">
      <c r="B139" s="25">
        <v>102</v>
      </c>
      <c r="C139" s="36">
        <f>IF(B138&lt;'Умови та класичний графік'!$J$14,EDATE(C138,1),"")</f>
        <v>48396</v>
      </c>
      <c r="D139" s="36">
        <f>IF(B138&lt;'Умови та класичний графік'!$J$14,C138,"")</f>
        <v>48366</v>
      </c>
      <c r="E139" s="26">
        <f>IF(B138&lt;'Умови та класичний графік'!$J$14,C139-1,"")</f>
        <v>48395</v>
      </c>
      <c r="F139" s="37">
        <f>IF(B138&lt;'Умови та класичний графік'!$J$14,E139-D139+1,"")</f>
        <v>30</v>
      </c>
      <c r="G139" s="89">
        <f>IF(B138&lt;'Умови та класичний графік'!$J$14,J139+K139+L139,"")</f>
        <v>148772.83105022839</v>
      </c>
      <c r="H139" s="90"/>
      <c r="I139" s="32">
        <f>IF(B138&lt;'Умови та класичний графік'!$J$14,I138-J139,"")</f>
        <v>5750000.0000000037</v>
      </c>
      <c r="J139" s="32">
        <f>IF(B138&lt;'Умови та класичний графік'!$J$14,J138,"")</f>
        <v>41666.666666666664</v>
      </c>
      <c r="K139" s="32">
        <f>IF(B138&lt;'Умови та класичний графік'!$J$14,((I138*'Умови та класичний графік'!$J$23)/365)*F139,"")</f>
        <v>107106.16438356171</v>
      </c>
      <c r="L139" s="30">
        <f>IF(B138&lt;'Умови та класичний графік'!$J$14,SUM(M139:V139),"")</f>
        <v>0</v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>
        <f>IF(B138&lt;'Умови та класичний графік'!$J$14,XIRR($G$37:G139,$C$37:C139,0),"")</f>
        <v>0.40545976074218759</v>
      </c>
      <c r="X139" s="42"/>
      <c r="Y139" s="35"/>
    </row>
    <row r="140" spans="2:25" x14ac:dyDescent="0.2">
      <c r="B140" s="25">
        <v>103</v>
      </c>
      <c r="C140" s="36">
        <f>IF(B139&lt;'Умови та класичний графік'!$J$14,EDATE(C139,1),"")</f>
        <v>48427</v>
      </c>
      <c r="D140" s="36">
        <f>IF(B139&lt;'Умови та класичний графік'!$J$14,C139,"")</f>
        <v>48396</v>
      </c>
      <c r="E140" s="26">
        <f>IF(B139&lt;'Умови та класичний графік'!$J$14,C140-1,"")</f>
        <v>48426</v>
      </c>
      <c r="F140" s="37">
        <f>IF(B139&lt;'Умови та класичний графік'!$J$14,E140-D140+1,"")</f>
        <v>31</v>
      </c>
      <c r="G140" s="89">
        <f>IF(B139&lt;'Умови та класичний графік'!$J$14,J140+K140+L140,"")</f>
        <v>151546.80365296811</v>
      </c>
      <c r="H140" s="90"/>
      <c r="I140" s="32">
        <f>IF(B139&lt;'Умови та класичний графік'!$J$14,I139-J140,"")</f>
        <v>5708333.3333333367</v>
      </c>
      <c r="J140" s="32">
        <f>IF(B139&lt;'Умови та класичний графік'!$J$14,J139,"")</f>
        <v>41666.666666666664</v>
      </c>
      <c r="K140" s="32">
        <f>IF(B139&lt;'Умови та класичний графік'!$J$14,((I139*'Умови та класичний графік'!$J$23)/365)*F140,"")</f>
        <v>109880.13698630144</v>
      </c>
      <c r="L140" s="30">
        <f>IF(B139&lt;'Умови та класичний графік'!$J$14,SUM(M140:V140),"")</f>
        <v>0</v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>
        <f>IF(B139&lt;'Умови та класичний графік'!$J$14,XIRR($G$37:G140,$C$37:C140,0),"")</f>
        <v>0.40607446777343759</v>
      </c>
      <c r="X140" s="42"/>
      <c r="Y140" s="35"/>
    </row>
    <row r="141" spans="2:25" x14ac:dyDescent="0.2">
      <c r="B141" s="25">
        <v>104</v>
      </c>
      <c r="C141" s="36">
        <f>IF(B140&lt;'Умови та класичний графік'!$J$14,EDATE(C140,1),"")</f>
        <v>48458</v>
      </c>
      <c r="D141" s="36">
        <f>IF(B140&lt;'Умови та класичний графік'!$J$14,C140,"")</f>
        <v>48427</v>
      </c>
      <c r="E141" s="26">
        <f>IF(B140&lt;'Умови та класичний графік'!$J$14,C141-1,"")</f>
        <v>48457</v>
      </c>
      <c r="F141" s="37">
        <f>IF(B140&lt;'Умови та класичний графік'!$J$14,E141-D141+1,"")</f>
        <v>31</v>
      </c>
      <c r="G141" s="89">
        <f>IF(B140&lt;'Умови та класичний графік'!$J$14,J141+K141+L141,"")</f>
        <v>150750.57077625577</v>
      </c>
      <c r="H141" s="90"/>
      <c r="I141" s="32">
        <f>IF(B140&lt;'Умови та класичний графік'!$J$14,I140-J141,"")</f>
        <v>5666666.6666666698</v>
      </c>
      <c r="J141" s="32">
        <f>IF(B140&lt;'Умови та класичний графік'!$J$14,J140,"")</f>
        <v>41666.666666666664</v>
      </c>
      <c r="K141" s="32">
        <f>IF(B140&lt;'Умови та класичний графік'!$J$14,((I140*'Умови та класичний графік'!$J$23)/365)*F141,"")</f>
        <v>109083.9041095891</v>
      </c>
      <c r="L141" s="30">
        <f>IF(B140&lt;'Умови та класичний графік'!$J$14,SUM(M141:V141),"")</f>
        <v>0</v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>
        <f>IF(B140&lt;'Умови та класичний графік'!$J$14,XIRR($G$37:G141,$C$37:C141,0),"")</f>
        <v>0.40666538574218769</v>
      </c>
      <c r="X141" s="42"/>
      <c r="Y141" s="35"/>
    </row>
    <row r="142" spans="2:25" x14ac:dyDescent="0.2">
      <c r="B142" s="25">
        <v>105</v>
      </c>
      <c r="C142" s="36">
        <f>IF(B141&lt;'Умови та класичний графік'!$J$14,EDATE(C141,1),"")</f>
        <v>48488</v>
      </c>
      <c r="D142" s="36">
        <f>IF(B141&lt;'Умови та класичний графік'!$J$14,C141,"")</f>
        <v>48458</v>
      </c>
      <c r="E142" s="26">
        <f>IF(B141&lt;'Умови та класичний графік'!$J$14,C142-1,"")</f>
        <v>48487</v>
      </c>
      <c r="F142" s="37">
        <f>IF(B141&lt;'Умови та класичний графік'!$J$14,E142-D142+1,"")</f>
        <v>30</v>
      </c>
      <c r="G142" s="89">
        <f>IF(B141&lt;'Умови та класичний графік'!$J$14,J142+K142+L142,"")</f>
        <v>146461.18721461191</v>
      </c>
      <c r="H142" s="90"/>
      <c r="I142" s="32">
        <f>IF(B141&lt;'Умови та класичний графік'!$J$14,I141-J142,"")</f>
        <v>5625000.0000000028</v>
      </c>
      <c r="J142" s="32">
        <f>IF(B141&lt;'Умови та класичний графік'!$J$14,J141,"")</f>
        <v>41666.666666666664</v>
      </c>
      <c r="K142" s="32">
        <f>IF(B141&lt;'Умови та класичний графік'!$J$14,((I141*'Умови та класичний графік'!$J$23)/365)*F142,"")</f>
        <v>104794.52054794526</v>
      </c>
      <c r="L142" s="30">
        <f>IF(B141&lt;'Умови та класичний графік'!$J$14,SUM(M142:V142),"")</f>
        <v>0</v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>
        <f>IF(B141&lt;'Умови та класичний графік'!$J$14,XIRR($G$37:G142,$C$37:C142,0),"")</f>
        <v>0.40722078613281254</v>
      </c>
      <c r="X142" s="42"/>
      <c r="Y142" s="35"/>
    </row>
    <row r="143" spans="2:25" x14ac:dyDescent="0.2">
      <c r="B143" s="25">
        <v>106</v>
      </c>
      <c r="C143" s="36">
        <f>IF(B142&lt;'Умови та класичний графік'!$J$14,EDATE(C142,1),"")</f>
        <v>48519</v>
      </c>
      <c r="D143" s="36">
        <f>IF(B142&lt;'Умови та класичний графік'!$J$14,C142,"")</f>
        <v>48488</v>
      </c>
      <c r="E143" s="26">
        <f>IF(B142&lt;'Умови та класичний графік'!$J$14,C143-1,"")</f>
        <v>48518</v>
      </c>
      <c r="F143" s="37">
        <f>IF(B142&lt;'Умови та класичний графік'!$J$14,E143-D143+1,"")</f>
        <v>31</v>
      </c>
      <c r="G143" s="89">
        <f>IF(B142&lt;'Умови та класичний графік'!$J$14,J143+K143+L143,"")</f>
        <v>149158.10502283109</v>
      </c>
      <c r="H143" s="90"/>
      <c r="I143" s="32">
        <f>IF(B142&lt;'Умови та класичний графік'!$J$14,I142-J143,"")</f>
        <v>5583333.3333333358</v>
      </c>
      <c r="J143" s="32">
        <f>IF(B142&lt;'Умови та класичний графік'!$J$14,J142,"")</f>
        <v>41666.666666666664</v>
      </c>
      <c r="K143" s="32">
        <f>IF(B142&lt;'Умови та класичний графік'!$J$14,((I142*'Умови та класичний графік'!$J$23)/365)*F143,"")</f>
        <v>107491.43835616444</v>
      </c>
      <c r="L143" s="30">
        <f>IF(B142&lt;'Умови та класичний графік'!$J$14,SUM(M143:V143),"")</f>
        <v>0</v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>
        <f>IF(B142&lt;'Умови та класичний графік'!$J$14,XIRR($G$37:G143,$C$37:C143,0),"")</f>
        <v>0.40776754394531256</v>
      </c>
      <c r="X143" s="42"/>
      <c r="Y143" s="35"/>
    </row>
    <row r="144" spans="2:25" x14ac:dyDescent="0.2">
      <c r="B144" s="25">
        <v>107</v>
      </c>
      <c r="C144" s="36">
        <f>IF(B143&lt;'Умови та класичний графік'!$J$14,EDATE(C143,1),"")</f>
        <v>48549</v>
      </c>
      <c r="D144" s="36">
        <f>IF(B143&lt;'Умови та класичний графік'!$J$14,C143,"")</f>
        <v>48519</v>
      </c>
      <c r="E144" s="26">
        <f>IF(B143&lt;'Умови та класичний графік'!$J$14,C144-1,"")</f>
        <v>48548</v>
      </c>
      <c r="F144" s="37">
        <f>IF(B143&lt;'Умови та класичний графік'!$J$14,E144-D144+1,"")</f>
        <v>30</v>
      </c>
      <c r="G144" s="89">
        <f>IF(B143&lt;'Умови та класичний графік'!$J$14,J144+K144+L144,"")</f>
        <v>144920.09132420097</v>
      </c>
      <c r="H144" s="90"/>
      <c r="I144" s="32">
        <f>IF(B143&lt;'Умови та класичний графік'!$J$14,I143-J144,"")</f>
        <v>5541666.6666666688</v>
      </c>
      <c r="J144" s="32">
        <f>IF(B143&lt;'Умови та класичний графік'!$J$14,J143,"")</f>
        <v>41666.666666666664</v>
      </c>
      <c r="K144" s="32">
        <f>IF(B143&lt;'Умови та класичний графік'!$J$14,((I143*'Умови та класичний графік'!$J$23)/365)*F144,"")</f>
        <v>103253.4246575343</v>
      </c>
      <c r="L144" s="30">
        <f>IF(B143&lt;'Умови та класичний графік'!$J$14,SUM(M144:V144),"")</f>
        <v>0</v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>
        <f>IF(B143&lt;'Умови та класичний графік'!$J$14,XIRR($G$37:G144,$C$37:C144,0),"")</f>
        <v>0.40828156738281263</v>
      </c>
      <c r="X144" s="42"/>
      <c r="Y144" s="35"/>
    </row>
    <row r="145" spans="2:25" x14ac:dyDescent="0.2">
      <c r="B145" s="25">
        <v>108</v>
      </c>
      <c r="C145" s="36">
        <f>IF(B144&lt;'Умови та класичний графік'!$J$14,EDATE(C144,1),"")</f>
        <v>48580</v>
      </c>
      <c r="D145" s="36">
        <f>IF(B144&lt;'Умови та класичний графік'!$J$14,C144,"")</f>
        <v>48549</v>
      </c>
      <c r="E145" s="26">
        <f>IF(B144&lt;'Умови та класичний графік'!$J$14,C145-1,"")</f>
        <v>48579</v>
      </c>
      <c r="F145" s="37">
        <f>IF(B144&lt;'Умови та класичний графік'!$J$14,E145-D145+1,"")</f>
        <v>31</v>
      </c>
      <c r="G145" s="89">
        <f>IF(B144&lt;'Умови та класичний графік'!$J$14,J145+K145+L145,"")</f>
        <v>590065.63926940644</v>
      </c>
      <c r="H145" s="90"/>
      <c r="I145" s="32">
        <f>IF(B144&lt;'Умови та класичний графік'!$J$14,I144-J145,"")</f>
        <v>5500000.0000000019</v>
      </c>
      <c r="J145" s="32">
        <f>IF(B144&lt;'Умови та класичний графік'!$J$14,J144,"")</f>
        <v>41666.666666666664</v>
      </c>
      <c r="K145" s="32">
        <f>IF(B144&lt;'Умови та класичний графік'!$J$14,((I144*'Умови та класичний графік'!$J$23)/365)*F145,"")</f>
        <v>105898.97260273977</v>
      </c>
      <c r="L145" s="30">
        <f>IF(B144&lt;'Умови та класичний графік'!$J$14,SUM(M145:V145),"")</f>
        <v>442500</v>
      </c>
      <c r="M145" s="38"/>
      <c r="N145" s="39"/>
      <c r="O145" s="39"/>
      <c r="P145" s="32"/>
      <c r="Q145" s="40"/>
      <c r="R145" s="40"/>
      <c r="S145" s="41"/>
      <c r="T145" s="41"/>
      <c r="U145" s="33">
        <f>IF(B144&lt;'Умови та класичний графік'!$J$14,('Умови та класичний графік'!$J$15*$N$21)+(I145*$N$22),"")</f>
        <v>442500</v>
      </c>
      <c r="V145" s="41"/>
      <c r="W145" s="43">
        <f>IF(B144&lt;'Умови та класичний графік'!$J$14,XIRR($G$37:G145,$C$37:C145,0),"")</f>
        <v>0.41029107910156259</v>
      </c>
      <c r="X145" s="42"/>
      <c r="Y145" s="35"/>
    </row>
    <row r="146" spans="2:25" x14ac:dyDescent="0.2">
      <c r="B146" s="25">
        <v>109</v>
      </c>
      <c r="C146" s="36">
        <f>IF(B145&lt;'Умови та класичний графік'!$J$14,EDATE(C145,1),"")</f>
        <v>48611</v>
      </c>
      <c r="D146" s="36">
        <f>IF(B145&lt;'Умови та класичний графік'!$J$14,C145,"")</f>
        <v>48580</v>
      </c>
      <c r="E146" s="26">
        <f>IF(B145&lt;'Умови та класичний графік'!$J$14,C146-1,"")</f>
        <v>48610</v>
      </c>
      <c r="F146" s="37">
        <f>IF(B145&lt;'Умови та класичний графік'!$J$14,E146-D146+1,"")</f>
        <v>31</v>
      </c>
      <c r="G146" s="89">
        <f>IF(B145&lt;'Умови та класичний графік'!$J$14,J146+K146+L146,"")</f>
        <v>146769.4063926941</v>
      </c>
      <c r="H146" s="90"/>
      <c r="I146" s="32">
        <f>IF(B145&lt;'Умови та класичний графік'!$J$14,I145-J146,"")</f>
        <v>5458333.3333333349</v>
      </c>
      <c r="J146" s="32">
        <f>IF(B145&lt;'Умови та класичний графік'!$J$14,J145,"")</f>
        <v>41666.666666666664</v>
      </c>
      <c r="K146" s="32">
        <f>IF(B145&lt;'Умови та класичний графік'!$J$14,((I145*'Умови та класичний графік'!$J$23)/365)*F146,"")</f>
        <v>105102.73972602744</v>
      </c>
      <c r="L146" s="30">
        <f>IF(B145&lt;'Умови та класичний графік'!$J$14,SUM(M146:V146),"")</f>
        <v>0</v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>
        <f>IF(B145&lt;'Умови та класичний графік'!$J$14,XIRR($G$37:G146,$C$37:C146,0),"")</f>
        <v>0.41077101074218758</v>
      </c>
      <c r="X146" s="42"/>
      <c r="Y146" s="35"/>
    </row>
    <row r="147" spans="2:25" x14ac:dyDescent="0.2">
      <c r="B147" s="25">
        <v>110</v>
      </c>
      <c r="C147" s="36">
        <f>IF(B146&lt;'Умови та класичний графік'!$J$14,EDATE(C146,1),"")</f>
        <v>48639</v>
      </c>
      <c r="D147" s="36">
        <f>IF(B146&lt;'Умови та класичний графік'!$J$14,C146,"")</f>
        <v>48611</v>
      </c>
      <c r="E147" s="26">
        <f>IF(B146&lt;'Умови та класичний графік'!$J$14,C147-1,"")</f>
        <v>48638</v>
      </c>
      <c r="F147" s="37">
        <f>IF(B146&lt;'Умови та класичний графік'!$J$14,E147-D147+1,"")</f>
        <v>28</v>
      </c>
      <c r="G147" s="89">
        <f>IF(B146&lt;'Умови та класичний графік'!$J$14,J147+K147+L147,"")</f>
        <v>135878.99543379</v>
      </c>
      <c r="H147" s="90"/>
      <c r="I147" s="32">
        <f>IF(B146&lt;'Умови та класичний графік'!$J$14,I146-J147,"")</f>
        <v>5416666.6666666679</v>
      </c>
      <c r="J147" s="32">
        <f>IF(B146&lt;'Умови та класичний графік'!$J$14,J146,"")</f>
        <v>41666.666666666664</v>
      </c>
      <c r="K147" s="32">
        <f>IF(B146&lt;'Умови та класичний графік'!$J$14,((I146*'Умови та класичний графік'!$J$23)/365)*F147,"")</f>
        <v>94212.328767123327</v>
      </c>
      <c r="L147" s="30">
        <f>IF(B146&lt;'Умови та класичний графік'!$J$14,SUM(M147:V147),"")</f>
        <v>0</v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>
        <f>IF(B146&lt;'Умови та класичний графік'!$J$14,XIRR($G$37:G147,$C$37:C147,0),"")</f>
        <v>0.41120191894531266</v>
      </c>
      <c r="X147" s="42"/>
      <c r="Y147" s="35"/>
    </row>
    <row r="148" spans="2:25" x14ac:dyDescent="0.2">
      <c r="B148" s="25">
        <v>111</v>
      </c>
      <c r="C148" s="36">
        <f>IF(B147&lt;'Умови та класичний графік'!$J$14,EDATE(C147,1),"")</f>
        <v>48670</v>
      </c>
      <c r="D148" s="36">
        <f>IF(B147&lt;'Умови та класичний графік'!$J$14,C147,"")</f>
        <v>48639</v>
      </c>
      <c r="E148" s="26">
        <f>IF(B147&lt;'Умови та класичний графік'!$J$14,C148-1,"")</f>
        <v>48669</v>
      </c>
      <c r="F148" s="37">
        <f>IF(B147&lt;'Умови та класичний графік'!$J$14,E148-D148+1,"")</f>
        <v>31</v>
      </c>
      <c r="G148" s="89">
        <f>IF(B147&lt;'Умови та класичний графік'!$J$14,J148+K148+L148,"")</f>
        <v>145176.94063926942</v>
      </c>
      <c r="H148" s="90"/>
      <c r="I148" s="32">
        <f>IF(B147&lt;'Умови та класичний графік'!$J$14,I147-J148,"")</f>
        <v>5375000.0000000009</v>
      </c>
      <c r="J148" s="32">
        <f>IF(B147&lt;'Умови та класичний графік'!$J$14,J147,"")</f>
        <v>41666.666666666664</v>
      </c>
      <c r="K148" s="32">
        <f>IF(B147&lt;'Умови та класичний графік'!$J$14,((I147*'Умови та класичний графік'!$J$23)/365)*F148,"")</f>
        <v>103510.27397260276</v>
      </c>
      <c r="L148" s="30">
        <f>IF(B147&lt;'Умови та класичний графік'!$J$14,SUM(M148:V148),"")</f>
        <v>0</v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>
        <f>IF(B147&lt;'Умови та класичний графік'!$J$14,XIRR($G$37:G148,$C$37:C148,0),"")</f>
        <v>0.41164720214843764</v>
      </c>
      <c r="X148" s="42"/>
      <c r="Y148" s="35"/>
    </row>
    <row r="149" spans="2:25" x14ac:dyDescent="0.2">
      <c r="B149" s="25">
        <v>112</v>
      </c>
      <c r="C149" s="36">
        <f>IF(B148&lt;'Умови та класичний графік'!$J$14,EDATE(C148,1),"")</f>
        <v>48700</v>
      </c>
      <c r="D149" s="36">
        <f>IF(B148&lt;'Умови та класичний графік'!$J$14,C148,"")</f>
        <v>48670</v>
      </c>
      <c r="E149" s="26">
        <f>IF(B148&lt;'Умови та класичний графік'!$J$14,C149-1,"")</f>
        <v>48699</v>
      </c>
      <c r="F149" s="37">
        <f>IF(B148&lt;'Умови та класичний графік'!$J$14,E149-D149+1,"")</f>
        <v>30</v>
      </c>
      <c r="G149" s="89">
        <f>IF(B148&lt;'Умови та класичний графік'!$J$14,J149+K149+L149,"")</f>
        <v>141067.35159817353</v>
      </c>
      <c r="H149" s="90"/>
      <c r="I149" s="32">
        <f>IF(B148&lt;'Умови та класичний графік'!$J$14,I148-J149,"")</f>
        <v>5333333.333333334</v>
      </c>
      <c r="J149" s="32">
        <f>IF(B148&lt;'Умови та класичний графік'!$J$14,J148,"")</f>
        <v>41666.666666666664</v>
      </c>
      <c r="K149" s="32">
        <f>IF(B148&lt;'Умови та класичний графік'!$J$14,((I148*'Умови та класичний графік'!$J$23)/365)*F149,"")</f>
        <v>99400.684931506868</v>
      </c>
      <c r="L149" s="30">
        <f>IF(B148&lt;'Умови та класичний графік'!$J$14,SUM(M149:V149),"")</f>
        <v>0</v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>
        <f>IF(B148&lt;'Умови та класичний графік'!$J$14,XIRR($G$37:G149,$C$37:C149,0),"")</f>
        <v>0.41206606933593759</v>
      </c>
      <c r="X149" s="42"/>
      <c r="Y149" s="35"/>
    </row>
    <row r="150" spans="2:25" x14ac:dyDescent="0.2">
      <c r="B150" s="25">
        <v>113</v>
      </c>
      <c r="C150" s="36">
        <f>IF(B149&lt;'Умови та класичний графік'!$J$14,EDATE(C149,1),"")</f>
        <v>48731</v>
      </c>
      <c r="D150" s="36">
        <f>IF(B149&lt;'Умови та класичний графік'!$J$14,C149,"")</f>
        <v>48700</v>
      </c>
      <c r="E150" s="26">
        <f>IF(B149&lt;'Умови та класичний графік'!$J$14,C150-1,"")</f>
        <v>48730</v>
      </c>
      <c r="F150" s="37">
        <f>IF(B149&lt;'Умови та класичний графік'!$J$14,E150-D150+1,"")</f>
        <v>31</v>
      </c>
      <c r="G150" s="89">
        <f>IF(B149&lt;'Умови та класичний графік'!$J$14,J150+K150+L150,"")</f>
        <v>143584.47488584477</v>
      </c>
      <c r="H150" s="90"/>
      <c r="I150" s="32">
        <f>IF(B149&lt;'Умови та класичний графік'!$J$14,I149-J150,"")</f>
        <v>5291666.666666667</v>
      </c>
      <c r="J150" s="32">
        <f>IF(B149&lt;'Умови та класичний графік'!$J$14,J149,"")</f>
        <v>41666.666666666664</v>
      </c>
      <c r="K150" s="32">
        <f>IF(B149&lt;'Умови та класичний графік'!$J$14,((I149*'Умови та класичний графік'!$J$23)/365)*F150,"")</f>
        <v>101917.8082191781</v>
      </c>
      <c r="L150" s="30">
        <f>IF(B149&lt;'Умови та класичний графік'!$J$14,SUM(M150:V150),"")</f>
        <v>0</v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>
        <f>IF(B149&lt;'Умови та класичний графік'!$J$14,XIRR($G$37:G150,$C$37:C150,0),"")</f>
        <v>0.41247843261718753</v>
      </c>
      <c r="X150" s="42"/>
      <c r="Y150" s="35"/>
    </row>
    <row r="151" spans="2:25" x14ac:dyDescent="0.2">
      <c r="B151" s="25">
        <v>114</v>
      </c>
      <c r="C151" s="36">
        <f>IF(B150&lt;'Умови та класичний графік'!$J$14,EDATE(C150,1),"")</f>
        <v>48761</v>
      </c>
      <c r="D151" s="36">
        <f>IF(B150&lt;'Умови та класичний графік'!$J$14,C150,"")</f>
        <v>48731</v>
      </c>
      <c r="E151" s="26">
        <f>IF(B150&lt;'Умови та класичний графік'!$J$14,C151-1,"")</f>
        <v>48760</v>
      </c>
      <c r="F151" s="37">
        <f>IF(B150&lt;'Умови та класичний графік'!$J$14,E151-D151+1,"")</f>
        <v>30</v>
      </c>
      <c r="G151" s="89">
        <f>IF(B150&lt;'Умови та класичний графік'!$J$14,J151+K151+L151,"")</f>
        <v>139526.25570776255</v>
      </c>
      <c r="H151" s="90"/>
      <c r="I151" s="32">
        <f>IF(B150&lt;'Умови та класичний графік'!$J$14,I150-J151,"")</f>
        <v>5250000</v>
      </c>
      <c r="J151" s="32">
        <f>IF(B150&lt;'Умови та класичний графік'!$J$14,J150,"")</f>
        <v>41666.666666666664</v>
      </c>
      <c r="K151" s="32">
        <f>IF(B150&lt;'Умови та класичний графік'!$J$14,((I150*'Умови та класичний графік'!$J$23)/365)*F151,"")</f>
        <v>97859.589041095896</v>
      </c>
      <c r="L151" s="30">
        <f>IF(B150&lt;'Умови та класичний графік'!$J$14,SUM(M151:V151),"")</f>
        <v>0</v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>
        <f>IF(B150&lt;'Умови та класичний графік'!$J$14,XIRR($G$37:G151,$C$37:C151,0),"")</f>
        <v>0.41286641113281253</v>
      </c>
      <c r="X151" s="42"/>
      <c r="Y151" s="35"/>
    </row>
    <row r="152" spans="2:25" x14ac:dyDescent="0.2">
      <c r="B152" s="25">
        <v>115</v>
      </c>
      <c r="C152" s="36">
        <f>IF(B151&lt;'Умови та класичний графік'!$J$14,EDATE(C151,1),"")</f>
        <v>48792</v>
      </c>
      <c r="D152" s="36">
        <f>IF(B151&lt;'Умови та класичний графік'!$J$14,C151,"")</f>
        <v>48761</v>
      </c>
      <c r="E152" s="26">
        <f>IF(B151&lt;'Умови та класичний графік'!$J$14,C152-1,"")</f>
        <v>48791</v>
      </c>
      <c r="F152" s="37">
        <f>IF(B151&lt;'Умови та класичний графік'!$J$14,E152-D152+1,"")</f>
        <v>31</v>
      </c>
      <c r="G152" s="89">
        <f>IF(B151&lt;'Умови та класичний графік'!$J$14,J152+K152+L152,"")</f>
        <v>141992.00913242009</v>
      </c>
      <c r="H152" s="90"/>
      <c r="I152" s="32">
        <f>IF(B151&lt;'Умови та класичний графік'!$J$14,I151-J152,"")</f>
        <v>5208333.333333333</v>
      </c>
      <c r="J152" s="32">
        <f>IF(B151&lt;'Умови та класичний графік'!$J$14,J151,"")</f>
        <v>41666.666666666664</v>
      </c>
      <c r="K152" s="32">
        <f>IF(B151&lt;'Умови та класичний графік'!$J$14,((I151*'Умови та класичний графік'!$J$23)/365)*F152,"")</f>
        <v>100325.34246575343</v>
      </c>
      <c r="L152" s="30">
        <f>IF(B151&lt;'Умови та класичний графік'!$J$14,SUM(M152:V152),"")</f>
        <v>0</v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>
        <f>IF(B151&lt;'Умови та класичний графік'!$J$14,XIRR($G$37:G152,$C$37:C152,0),"")</f>
        <v>0.4132483740234375</v>
      </c>
      <c r="X152" s="42"/>
      <c r="Y152" s="35"/>
    </row>
    <row r="153" spans="2:25" x14ac:dyDescent="0.2">
      <c r="B153" s="25">
        <v>116</v>
      </c>
      <c r="C153" s="36">
        <f>IF(B152&lt;'Умови та класичний графік'!$J$14,EDATE(C152,1),"")</f>
        <v>48823</v>
      </c>
      <c r="D153" s="36">
        <f>IF(B152&lt;'Умови та класичний графік'!$J$14,C152,"")</f>
        <v>48792</v>
      </c>
      <c r="E153" s="26">
        <f>IF(B152&lt;'Умови та класичний графік'!$J$14,C153-1,"")</f>
        <v>48822</v>
      </c>
      <c r="F153" s="37">
        <f>IF(B152&lt;'Умови та класичний графік'!$J$14,E153-D153+1,"")</f>
        <v>31</v>
      </c>
      <c r="G153" s="89">
        <f>IF(B152&lt;'Умови та класичний графік'!$J$14,J153+K153+L153,"")</f>
        <v>141195.77625570775</v>
      </c>
      <c r="H153" s="90"/>
      <c r="I153" s="32">
        <f>IF(B152&lt;'Умови та класичний графік'!$J$14,I152-J153,"")</f>
        <v>5166666.666666666</v>
      </c>
      <c r="J153" s="32">
        <f>IF(B152&lt;'Умови та класичний графік'!$J$14,J152,"")</f>
        <v>41666.666666666664</v>
      </c>
      <c r="K153" s="32">
        <f>IF(B152&lt;'Умови та класичний графік'!$J$14,((I152*'Умови та класичний графік'!$J$23)/365)*F153,"")</f>
        <v>99529.109589041094</v>
      </c>
      <c r="L153" s="30">
        <f>IF(B152&lt;'Умови та класичний графік'!$J$14,SUM(M153:V153),"")</f>
        <v>0</v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>
        <f>IF(B152&lt;'Умови та класичний графік'!$J$14,XIRR($G$37:G153,$C$37:C153,0),"")</f>
        <v>0.41361583496093746</v>
      </c>
      <c r="X153" s="42"/>
      <c r="Y153" s="35"/>
    </row>
    <row r="154" spans="2:25" x14ac:dyDescent="0.2">
      <c r="B154" s="25">
        <v>117</v>
      </c>
      <c r="C154" s="36">
        <f>IF(B153&lt;'Умови та класичний графік'!$J$14,EDATE(C153,1),"")</f>
        <v>48853</v>
      </c>
      <c r="D154" s="36">
        <f>IF(B153&lt;'Умови та класичний графік'!$J$14,C153,"")</f>
        <v>48823</v>
      </c>
      <c r="E154" s="26">
        <f>IF(B153&lt;'Умови та класичний графік'!$J$14,C154-1,"")</f>
        <v>48852</v>
      </c>
      <c r="F154" s="37">
        <f>IF(B153&lt;'Умови та класичний графік'!$J$14,E154-D154+1,"")</f>
        <v>30</v>
      </c>
      <c r="G154" s="89">
        <f>IF(B153&lt;'Умови та класичний графік'!$J$14,J154+K154+L154,"")</f>
        <v>137214.61187214611</v>
      </c>
      <c r="H154" s="90"/>
      <c r="I154" s="32">
        <f>IF(B153&lt;'Умови та класичний графік'!$J$14,I153-J154,"")</f>
        <v>5124999.9999999991</v>
      </c>
      <c r="J154" s="32">
        <f>IF(B153&lt;'Умови та класичний графік'!$J$14,J153,"")</f>
        <v>41666.666666666664</v>
      </c>
      <c r="K154" s="32">
        <f>IF(B153&lt;'Умови та класичний графік'!$J$14,((I153*'Умови та класичний графік'!$J$23)/365)*F154,"")</f>
        <v>95547.945205479453</v>
      </c>
      <c r="L154" s="30">
        <f>IF(B153&lt;'Умови та класичний графік'!$J$14,SUM(M154:V154),"")</f>
        <v>0</v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>
        <f>IF(B153&lt;'Умови та класичний графік'!$J$14,XIRR($G$37:G154,$C$37:C154,0),"")</f>
        <v>0.41396166503906273</v>
      </c>
      <c r="X154" s="42"/>
      <c r="Y154" s="35"/>
    </row>
    <row r="155" spans="2:25" x14ac:dyDescent="0.2">
      <c r="B155" s="25">
        <v>118</v>
      </c>
      <c r="C155" s="36">
        <f>IF(B154&lt;'Умови та класичний графік'!$J$14,EDATE(C154,1),"")</f>
        <v>48884</v>
      </c>
      <c r="D155" s="36">
        <f>IF(B154&lt;'Умови та класичний графік'!$J$14,C154,"")</f>
        <v>48853</v>
      </c>
      <c r="E155" s="26">
        <f>IF(B154&lt;'Умови та класичний графік'!$J$14,C155-1,"")</f>
        <v>48883</v>
      </c>
      <c r="F155" s="37">
        <f>IF(B154&lt;'Умови та класичний графік'!$J$14,E155-D155+1,"")</f>
        <v>31</v>
      </c>
      <c r="G155" s="89">
        <f>IF(B154&lt;'Умови та класичний графік'!$J$14,J155+K155+L155,"")</f>
        <v>139603.31050228307</v>
      </c>
      <c r="H155" s="90"/>
      <c r="I155" s="32">
        <f>IF(B154&lt;'Умови та класичний графік'!$J$14,I154-J155,"")</f>
        <v>5083333.3333333321</v>
      </c>
      <c r="J155" s="32">
        <f>IF(B154&lt;'Умови та класичний графік'!$J$14,J154,"")</f>
        <v>41666.666666666664</v>
      </c>
      <c r="K155" s="32">
        <f>IF(B154&lt;'Умови та класичний графік'!$J$14,((I154*'Умови та класичний графік'!$J$23)/365)*F155,"")</f>
        <v>97936.643835616414</v>
      </c>
      <c r="L155" s="30">
        <f>IF(B154&lt;'Умови та класичний графік'!$J$14,SUM(M155:V155),"")</f>
        <v>0</v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>
        <f>IF(B154&lt;'Умови та класичний графік'!$J$14,XIRR($G$37:G155,$C$37:C155,0),"")</f>
        <v>0.41430212402343758</v>
      </c>
      <c r="X155" s="42"/>
      <c r="Y155" s="35"/>
    </row>
    <row r="156" spans="2:25" x14ac:dyDescent="0.2">
      <c r="B156" s="25">
        <v>119</v>
      </c>
      <c r="C156" s="36">
        <f>IF(B155&lt;'Умови та класичний графік'!$J$14,EDATE(C155,1),"")</f>
        <v>48914</v>
      </c>
      <c r="D156" s="36">
        <f>IF(B155&lt;'Умови та класичний графік'!$J$14,C155,"")</f>
        <v>48884</v>
      </c>
      <c r="E156" s="26">
        <f>IF(B155&lt;'Умови та класичний графік'!$J$14,C156-1,"")</f>
        <v>48913</v>
      </c>
      <c r="F156" s="37">
        <f>IF(B155&lt;'Умови та класичний графік'!$J$14,E156-D156+1,"")</f>
        <v>30</v>
      </c>
      <c r="G156" s="89">
        <f>IF(B155&lt;'Умови та класичний графік'!$J$14,J156+K156+L156,"")</f>
        <v>135673.51598173514</v>
      </c>
      <c r="H156" s="90"/>
      <c r="I156" s="32">
        <f>IF(B155&lt;'Умови та класичний графік'!$J$14,I155-J156,"")</f>
        <v>5041666.6666666651</v>
      </c>
      <c r="J156" s="32">
        <f>IF(B155&lt;'Умови та класичний графік'!$J$14,J155,"")</f>
        <v>41666.666666666664</v>
      </c>
      <c r="K156" s="32">
        <f>IF(B155&lt;'Умови та класичний графік'!$J$14,((I155*'Умови та класичний графік'!$J$23)/365)*F156,"")</f>
        <v>94006.849315068481</v>
      </c>
      <c r="L156" s="30">
        <f>IF(B155&lt;'Умови та класичний графік'!$J$14,SUM(M156:V156),"")</f>
        <v>0</v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>
        <f>IF(B155&lt;'Умови та класичний графік'!$J$14,XIRR($G$37:G156,$C$37:C156,0),"")</f>
        <v>0.41462262207031264</v>
      </c>
      <c r="X156" s="42"/>
      <c r="Y156" s="35"/>
    </row>
    <row r="157" spans="2:25" x14ac:dyDescent="0.2">
      <c r="B157" s="25">
        <v>120</v>
      </c>
      <c r="C157" s="36">
        <f>IF(B156&lt;'Умови та класичний графік'!$J$14,EDATE(C156,1),"")</f>
        <v>48945</v>
      </c>
      <c r="D157" s="36">
        <f>IF(B156&lt;'Умови та класичний графік'!$J$14,C156,"")</f>
        <v>48914</v>
      </c>
      <c r="E157" s="26">
        <f>IF(B156&lt;'Умови та класичний графік'!$J$14,C157-1,"")</f>
        <v>48944</v>
      </c>
      <c r="F157" s="37">
        <f>IF(B156&lt;'Умови та класичний графік'!$J$14,E157-D157+1,"")</f>
        <v>31</v>
      </c>
      <c r="G157" s="89">
        <f>IF(B156&lt;'Умови та класичний графік'!$J$14,J157+K157+L157,"")</f>
        <v>579010.84474885836</v>
      </c>
      <c r="H157" s="90"/>
      <c r="I157" s="32">
        <f>IF(B156&lt;'Умови та класичний графік'!$J$14,I156-J157,"")</f>
        <v>4999999.9999999981</v>
      </c>
      <c r="J157" s="32">
        <f>IF(B156&lt;'Умови та класичний графік'!$J$14,J156,"")</f>
        <v>41666.666666666664</v>
      </c>
      <c r="K157" s="32">
        <f>IF(B156&lt;'Умови та класичний графік'!$J$14,((I156*'Умови та класичний графік'!$J$23)/365)*F157,"")</f>
        <v>96344.178082191764</v>
      </c>
      <c r="L157" s="30">
        <f>IF(B156&lt;'Умови та класичний графік'!$J$14,SUM(M157:V157),"")</f>
        <v>441000</v>
      </c>
      <c r="M157" s="38"/>
      <c r="N157" s="39"/>
      <c r="O157" s="39"/>
      <c r="P157" s="32"/>
      <c r="Q157" s="40"/>
      <c r="R157" s="40"/>
      <c r="S157" s="41"/>
      <c r="T157" s="41"/>
      <c r="U157" s="33">
        <f>IF(B156&lt;'Умови та класичний графік'!$J$14,('Умови та класичний графік'!$J$15*$N$21)+(I157*$N$22),"")</f>
        <v>441000</v>
      </c>
      <c r="V157" s="41"/>
      <c r="W157" s="43">
        <f>IF(B156&lt;'Умови та класичний графік'!$J$14,XIRR($G$37:G157,$C$37:C157,0),"")</f>
        <v>0.41593939941406266</v>
      </c>
      <c r="X157" s="42"/>
      <c r="Y157" s="35"/>
    </row>
    <row r="158" spans="2:25" x14ac:dyDescent="0.2">
      <c r="B158" s="25">
        <v>121</v>
      </c>
      <c r="C158" s="36">
        <f>IF(B157&lt;'Умови та класичний графік'!$J$14,EDATE(C157,1),"")</f>
        <v>48976</v>
      </c>
      <c r="D158" s="36">
        <f>IF(B157&lt;'Умови та класичний графік'!$J$14,C157,"")</f>
        <v>48945</v>
      </c>
      <c r="E158" s="26">
        <f>IF(B157&lt;'Умови та класичний графік'!$J$14,C158-1,"")</f>
        <v>48975</v>
      </c>
      <c r="F158" s="37">
        <f>IF(B157&lt;'Умови та класичний графік'!$J$14,E158-D158+1,"")</f>
        <v>31</v>
      </c>
      <c r="G158" s="89">
        <f>IF(B157&lt;'Умови та класичний графік'!$J$14,J158+K158+L158,"")</f>
        <v>137214.61187214608</v>
      </c>
      <c r="H158" s="90"/>
      <c r="I158" s="32">
        <f>IF(B157&lt;'Умови та класичний графік'!$J$14,I157-J158,"")</f>
        <v>4958333.3333333312</v>
      </c>
      <c r="J158" s="32">
        <f>IF(B157&lt;'Умови та класичний графік'!$J$14,J157,"")</f>
        <v>41666.666666666664</v>
      </c>
      <c r="K158" s="32">
        <f>IF(B157&lt;'Умови та класичний графік'!$J$14,((I157*'Умови та класичний графік'!$J$23)/365)*F158,"")</f>
        <v>95547.945205479409</v>
      </c>
      <c r="L158" s="30">
        <f>IF(B157&lt;'Умови та класичний графік'!$J$14,SUM(M158:V158),"")</f>
        <v>0</v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>
        <f>IF(B157&lt;'Умови та класичний графік'!$J$14,XIRR($G$37:G158,$C$37:C158,0),"")</f>
        <v>0.41623981933593757</v>
      </c>
      <c r="X158" s="42"/>
      <c r="Y158" s="35"/>
    </row>
    <row r="159" spans="2:25" x14ac:dyDescent="0.2">
      <c r="B159" s="25">
        <v>122</v>
      </c>
      <c r="C159" s="36">
        <f>IF(B158&lt;'Умови та класичний графік'!$J$14,EDATE(C158,1),"")</f>
        <v>49004</v>
      </c>
      <c r="D159" s="36">
        <f>IF(B158&lt;'Умови та класичний графік'!$J$14,C158,"")</f>
        <v>48976</v>
      </c>
      <c r="E159" s="26">
        <f>IF(B158&lt;'Умови та класичний графік'!$J$14,C159-1,"")</f>
        <v>49003</v>
      </c>
      <c r="F159" s="37">
        <f>IF(B158&lt;'Умови та класичний графік'!$J$14,E159-D159+1,"")</f>
        <v>28</v>
      </c>
      <c r="G159" s="89">
        <f>IF(B158&lt;'Умови та класичний графік'!$J$14,J159+K159+L159,"")</f>
        <v>127248.85844748854</v>
      </c>
      <c r="H159" s="90"/>
      <c r="I159" s="32">
        <f>IF(B158&lt;'Умови та класичний графік'!$J$14,I158-J159,"")</f>
        <v>4916666.6666666642</v>
      </c>
      <c r="J159" s="32">
        <f>IF(B158&lt;'Умови та класичний графік'!$J$14,J158,"")</f>
        <v>41666.666666666664</v>
      </c>
      <c r="K159" s="32">
        <f>IF(B158&lt;'Умови та класичний графік'!$J$14,((I158*'Умови та класичний графік'!$J$23)/365)*F159,"")</f>
        <v>85582.191780821871</v>
      </c>
      <c r="L159" s="30">
        <f>IF(B158&lt;'Умови та класичний графік'!$J$14,SUM(M159:V159),"")</f>
        <v>0</v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>
        <f>IF(B158&lt;'Умови та класичний графік'!$J$14,XIRR($G$37:G159,$C$37:C159,0),"")</f>
        <v>0.41651026855468765</v>
      </c>
      <c r="X159" s="42"/>
      <c r="Y159" s="35"/>
    </row>
    <row r="160" spans="2:25" x14ac:dyDescent="0.2">
      <c r="B160" s="25">
        <v>123</v>
      </c>
      <c r="C160" s="36">
        <f>IF(B159&lt;'Умови та класичний графік'!$J$14,EDATE(C159,1),"")</f>
        <v>49035</v>
      </c>
      <c r="D160" s="36">
        <f>IF(B159&lt;'Умови та класичний графік'!$J$14,C159,"")</f>
        <v>49004</v>
      </c>
      <c r="E160" s="26">
        <f>IF(B159&lt;'Умови та класичний графік'!$J$14,C160-1,"")</f>
        <v>49034</v>
      </c>
      <c r="F160" s="37">
        <f>IF(B159&lt;'Умови та класичний графік'!$J$14,E160-D160+1,"")</f>
        <v>31</v>
      </c>
      <c r="G160" s="89">
        <f>IF(B159&lt;'Умови та класичний графік'!$J$14,J160+K160+L160,"")</f>
        <v>135622.1461187214</v>
      </c>
      <c r="H160" s="90"/>
      <c r="I160" s="32">
        <f>IF(B159&lt;'Умови та класичний графік'!$J$14,I159-J160,"")</f>
        <v>4874999.9999999972</v>
      </c>
      <c r="J160" s="32">
        <f>IF(B159&lt;'Умови та класичний графік'!$J$14,J159,"")</f>
        <v>41666.666666666664</v>
      </c>
      <c r="K160" s="32">
        <f>IF(B159&lt;'Умови та класичний графік'!$J$14,((I159*'Умови та класичний графік'!$J$23)/365)*F160,"")</f>
        <v>93955.479452054744</v>
      </c>
      <c r="L160" s="30">
        <f>IF(B159&lt;'Умови та класичний графік'!$J$14,SUM(M160:V160),"")</f>
        <v>0</v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>
        <f>IF(B159&lt;'Умови та класичний графік'!$J$14,XIRR($G$37:G160,$C$37:C160,0),"")</f>
        <v>0.41678929199218762</v>
      </c>
      <c r="X160" s="42"/>
      <c r="Y160" s="35"/>
    </row>
    <row r="161" spans="2:25" x14ac:dyDescent="0.2">
      <c r="B161" s="25">
        <v>124</v>
      </c>
      <c r="C161" s="36">
        <f>IF(B160&lt;'Умови та класичний графік'!$J$14,EDATE(C160,1),"")</f>
        <v>49065</v>
      </c>
      <c r="D161" s="36">
        <f>IF(B160&lt;'Умови та класичний графік'!$J$14,C160,"")</f>
        <v>49035</v>
      </c>
      <c r="E161" s="26">
        <f>IF(B160&lt;'Умови та класичний графік'!$J$14,C161-1,"")</f>
        <v>49064</v>
      </c>
      <c r="F161" s="37">
        <f>IF(B160&lt;'Умови та класичний графік'!$J$14,E161-D161+1,"")</f>
        <v>30</v>
      </c>
      <c r="G161" s="89">
        <f>IF(B160&lt;'Умови та класичний графік'!$J$14,J161+K161+L161,"")</f>
        <v>131820.77625570769</v>
      </c>
      <c r="H161" s="90"/>
      <c r="I161" s="32">
        <f>IF(B160&lt;'Умови та класичний графік'!$J$14,I160-J161,"")</f>
        <v>4833333.3333333302</v>
      </c>
      <c r="J161" s="32">
        <f>IF(B160&lt;'Умови та класичний графік'!$J$14,J160,"")</f>
        <v>41666.666666666664</v>
      </c>
      <c r="K161" s="32">
        <f>IF(B160&lt;'Умови та класичний графік'!$J$14,((I160*'Умови та класичний графік'!$J$23)/365)*F161,"")</f>
        <v>90154.109589041036</v>
      </c>
      <c r="L161" s="30">
        <f>IF(B160&lt;'Умови та класичний графік'!$J$14,SUM(M161:V161),"")</f>
        <v>0</v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>
        <f>IF(B160&lt;'Умови та класичний графік'!$J$14,XIRR($G$37:G161,$C$37:C161,0),"")</f>
        <v>0.41705207519531251</v>
      </c>
      <c r="X161" s="42"/>
      <c r="Y161" s="35"/>
    </row>
    <row r="162" spans="2:25" x14ac:dyDescent="0.2">
      <c r="B162" s="25">
        <v>125</v>
      </c>
      <c r="C162" s="36">
        <f>IF(B161&lt;'Умови та класичний графік'!$J$14,EDATE(C161,1),"")</f>
        <v>49096</v>
      </c>
      <c r="D162" s="36">
        <f>IF(B161&lt;'Умови та класичний графік'!$J$14,C161,"")</f>
        <v>49065</v>
      </c>
      <c r="E162" s="26">
        <f>IF(B161&lt;'Умови та класичний графік'!$J$14,C162-1,"")</f>
        <v>49095</v>
      </c>
      <c r="F162" s="37">
        <f>IF(B161&lt;'Умови та класичний графік'!$J$14,E162-D162+1,"")</f>
        <v>31</v>
      </c>
      <c r="G162" s="89">
        <f>IF(B161&lt;'Умови та класичний графік'!$J$14,J162+K162+L162,"")</f>
        <v>134029.68036529675</v>
      </c>
      <c r="H162" s="90"/>
      <c r="I162" s="32">
        <f>IF(B161&lt;'Умови та класичний графік'!$J$14,I161-J162,"")</f>
        <v>4791666.6666666633</v>
      </c>
      <c r="J162" s="32">
        <f>IF(B161&lt;'Умови та класичний графік'!$J$14,J161,"")</f>
        <v>41666.666666666664</v>
      </c>
      <c r="K162" s="32">
        <f>IF(B161&lt;'Умови та класичний графік'!$J$14,((I161*'Умови та класичний графік'!$J$23)/365)*F162,"")</f>
        <v>92363.013698630079</v>
      </c>
      <c r="L162" s="30">
        <f>IF(B161&lt;'Умови та класичний графік'!$J$14,SUM(M162:V162),"")</f>
        <v>0</v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>
        <f>IF(B161&lt;'Умови та класичний графік'!$J$14,XIRR($G$37:G162,$C$37:C162,0),"")</f>
        <v>0.41731072753906262</v>
      </c>
      <c r="X162" s="42"/>
      <c r="Y162" s="35"/>
    </row>
    <row r="163" spans="2:25" x14ac:dyDescent="0.2">
      <c r="B163" s="25">
        <v>126</v>
      </c>
      <c r="C163" s="36">
        <f>IF(B162&lt;'Умови та класичний графік'!$J$14,EDATE(C162,1),"")</f>
        <v>49126</v>
      </c>
      <c r="D163" s="36">
        <f>IF(B162&lt;'Умови та класичний графік'!$J$14,C162,"")</f>
        <v>49096</v>
      </c>
      <c r="E163" s="26">
        <f>IF(B162&lt;'Умови та класичний графік'!$J$14,C163-1,"")</f>
        <v>49125</v>
      </c>
      <c r="F163" s="37">
        <f>IF(B162&lt;'Умови та класичний графік'!$J$14,E163-D163+1,"")</f>
        <v>30</v>
      </c>
      <c r="G163" s="89">
        <f>IF(B162&lt;'Умови та класичний графік'!$J$14,J163+K163+L163,"")</f>
        <v>130279.68036529675</v>
      </c>
      <c r="H163" s="90"/>
      <c r="I163" s="32">
        <f>IF(B162&lt;'Умови та класичний графік'!$J$14,I162-J163,"")</f>
        <v>4749999.9999999963</v>
      </c>
      <c r="J163" s="32">
        <f>IF(B162&lt;'Умови та класичний графік'!$J$14,J162,"")</f>
        <v>41666.666666666664</v>
      </c>
      <c r="K163" s="32">
        <f>IF(B162&lt;'Умови та класичний графік'!$J$14,((I162*'Умови та класичний графік'!$J$23)/365)*F163,"")</f>
        <v>88613.013698630079</v>
      </c>
      <c r="L163" s="30">
        <f>IF(B162&lt;'Умови та класичний графік'!$J$14,SUM(M163:V163),"")</f>
        <v>0</v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>
        <f>IF(B162&lt;'Умови та класичний графік'!$J$14,XIRR($G$37:G163,$C$37:C163,0),"")</f>
        <v>0.41755437011718766</v>
      </c>
      <c r="X163" s="42"/>
      <c r="Y163" s="35"/>
    </row>
    <row r="164" spans="2:25" x14ac:dyDescent="0.2">
      <c r="B164" s="25">
        <v>127</v>
      </c>
      <c r="C164" s="36">
        <f>IF(B163&lt;'Умови та класичний графік'!$J$14,EDATE(C163,1),"")</f>
        <v>49157</v>
      </c>
      <c r="D164" s="36">
        <f>IF(B163&lt;'Умови та класичний графік'!$J$14,C163,"")</f>
        <v>49126</v>
      </c>
      <c r="E164" s="26">
        <f>IF(B163&lt;'Умови та класичний графік'!$J$14,C164-1,"")</f>
        <v>49156</v>
      </c>
      <c r="F164" s="37">
        <f>IF(B163&lt;'Умови та класичний графік'!$J$14,E164-D164+1,"")</f>
        <v>31</v>
      </c>
      <c r="G164" s="89">
        <f>IF(B163&lt;'Умови та класичний графік'!$J$14,J164+K164+L164,"")</f>
        <v>132437.21461187207</v>
      </c>
      <c r="H164" s="90"/>
      <c r="I164" s="32">
        <f>IF(B163&lt;'Умови та класичний графік'!$J$14,I163-J164,"")</f>
        <v>4708333.3333333293</v>
      </c>
      <c r="J164" s="32">
        <f>IF(B163&lt;'Умови та класичний графік'!$J$14,J163,"")</f>
        <v>41666.666666666664</v>
      </c>
      <c r="K164" s="32">
        <f>IF(B163&lt;'Умови та класичний графік'!$J$14,((I163*'Умови та класичний графік'!$J$23)/365)*F164,"")</f>
        <v>90770.547945205413</v>
      </c>
      <c r="L164" s="30">
        <f>IF(B163&lt;'Умови та класичний графік'!$J$14,SUM(M164:V164),"")</f>
        <v>0</v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>
        <f>IF(B163&lt;'Умови та класичний графік'!$J$14,XIRR($G$37:G164,$C$37:C164,0),"")</f>
        <v>0.41779416503906264</v>
      </c>
      <c r="X164" s="42"/>
      <c r="Y164" s="35"/>
    </row>
    <row r="165" spans="2:25" x14ac:dyDescent="0.2">
      <c r="B165" s="25">
        <v>128</v>
      </c>
      <c r="C165" s="36">
        <f>IF(B164&lt;'Умови та класичний графік'!$J$14,EDATE(C164,1),"")</f>
        <v>49188</v>
      </c>
      <c r="D165" s="36">
        <f>IF(B164&lt;'Умови та класичний графік'!$J$14,C164,"")</f>
        <v>49157</v>
      </c>
      <c r="E165" s="26">
        <f>IF(B164&lt;'Умови та класичний графік'!$J$14,C165-1,"")</f>
        <v>49187</v>
      </c>
      <c r="F165" s="37">
        <f>IF(B164&lt;'Умови та класичний графік'!$J$14,E165-D165+1,"")</f>
        <v>31</v>
      </c>
      <c r="G165" s="89">
        <f>IF(B164&lt;'Умови та класичний графік'!$J$14,J165+K165+L165,"")</f>
        <v>131640.98173515973</v>
      </c>
      <c r="H165" s="90"/>
      <c r="I165" s="32">
        <f>IF(B164&lt;'Умови та класичний графік'!$J$14,I164-J165,"")</f>
        <v>4666666.6666666623</v>
      </c>
      <c r="J165" s="32">
        <f>IF(B164&lt;'Умови та класичний графік'!$J$14,J164,"")</f>
        <v>41666.666666666664</v>
      </c>
      <c r="K165" s="32">
        <f>IF(B164&lt;'Умови та класичний графік'!$J$14,((I164*'Умови та класичний графік'!$J$23)/365)*F165,"")</f>
        <v>89974.315068493073</v>
      </c>
      <c r="L165" s="30">
        <f>IF(B164&lt;'Умови та класичний графік'!$J$14,SUM(M165:V165),"")</f>
        <v>0</v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>
        <f>IF(B164&lt;'Умови та класичний графік'!$J$14,XIRR($G$37:G165,$C$37:C165,0),"")</f>
        <v>0.41802494628906262</v>
      </c>
      <c r="X165" s="42"/>
      <c r="Y165" s="35"/>
    </row>
    <row r="166" spans="2:25" x14ac:dyDescent="0.2">
      <c r="B166" s="25">
        <v>129</v>
      </c>
      <c r="C166" s="36">
        <f>IF(B165&lt;'Умови та класичний графік'!$J$14,EDATE(C165,1),"")</f>
        <v>49218</v>
      </c>
      <c r="D166" s="36">
        <f>IF(B165&lt;'Умови та класичний графік'!$J$14,C165,"")</f>
        <v>49188</v>
      </c>
      <c r="E166" s="26">
        <f>IF(B165&lt;'Умови та класичний графік'!$J$14,C166-1,"")</f>
        <v>49217</v>
      </c>
      <c r="F166" s="37">
        <f>IF(B165&lt;'Умови та класичний графік'!$J$14,E166-D166+1,"")</f>
        <v>30</v>
      </c>
      <c r="G166" s="89">
        <f>IF(B165&lt;'Умови та класичний графік'!$J$14,J166+K166+L166,"")</f>
        <v>127968.03652968028</v>
      </c>
      <c r="H166" s="90"/>
      <c r="I166" s="32">
        <f>IF(B165&lt;'Умови та класичний графік'!$J$14,I165-J166,"")</f>
        <v>4624999.9999999953</v>
      </c>
      <c r="J166" s="32">
        <f>IF(B165&lt;'Умови та класичний графік'!$J$14,J165,"")</f>
        <v>41666.666666666664</v>
      </c>
      <c r="K166" s="32">
        <f>IF(B165&lt;'Умови та класичний графік'!$J$14,((I165*'Умови та класичний графік'!$J$23)/365)*F166,"")</f>
        <v>86301.36986301362</v>
      </c>
      <c r="L166" s="30">
        <f>IF(B165&lt;'Умови та класичний графік'!$J$14,SUM(M166:V166),"")</f>
        <v>0</v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>
        <f>IF(B165&lt;'Умови та класичний графік'!$J$14,XIRR($G$37:G166,$C$37:C166,0),"")</f>
        <v>0.41824238769531252</v>
      </c>
      <c r="X166" s="42"/>
      <c r="Y166" s="35"/>
    </row>
    <row r="167" spans="2:25" x14ac:dyDescent="0.2">
      <c r="B167" s="25">
        <v>130</v>
      </c>
      <c r="C167" s="36">
        <f>IF(B166&lt;'Умови та класичний графік'!$J$14,EDATE(C166,1),"")</f>
        <v>49249</v>
      </c>
      <c r="D167" s="36">
        <f>IF(B166&lt;'Умови та класичний графік'!$J$14,C166,"")</f>
        <v>49218</v>
      </c>
      <c r="E167" s="26">
        <f>IF(B166&lt;'Умови та класичний графік'!$J$14,C167-1,"")</f>
        <v>49248</v>
      </c>
      <c r="F167" s="37">
        <f>IF(B166&lt;'Умови та класичний графік'!$J$14,E167-D167+1,"")</f>
        <v>31</v>
      </c>
      <c r="G167" s="89">
        <f>IF(B166&lt;'Умови та класичний графік'!$J$14,J167+K167+L167,"")</f>
        <v>130048.51598173508</v>
      </c>
      <c r="H167" s="90"/>
      <c r="I167" s="32">
        <f>IF(B166&lt;'Умови та класичний графік'!$J$14,I166-J167,"")</f>
        <v>4583333.3333333284</v>
      </c>
      <c r="J167" s="32">
        <f>IF(B166&lt;'Умови та класичний графік'!$J$14,J166,"")</f>
        <v>41666.666666666664</v>
      </c>
      <c r="K167" s="32">
        <f>IF(B166&lt;'Умови та класичний графік'!$J$14,((I166*'Умови та класичний графік'!$J$23)/365)*F167,"")</f>
        <v>88381.849315068408</v>
      </c>
      <c r="L167" s="30">
        <f>IF(B166&lt;'Умови та класичний графік'!$J$14,SUM(M167:V167),"")</f>
        <v>0</v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>
        <f>IF(B166&lt;'Умови та класичний графік'!$J$14,XIRR($G$37:G167,$C$37:C167,0),"")</f>
        <v>0.41845637207031261</v>
      </c>
      <c r="X167" s="42"/>
      <c r="Y167" s="35"/>
    </row>
    <row r="168" spans="2:25" x14ac:dyDescent="0.2">
      <c r="B168" s="25">
        <v>131</v>
      </c>
      <c r="C168" s="36">
        <f>IF(B167&lt;'Умови та класичний графік'!$J$14,EDATE(C167,1),"")</f>
        <v>49279</v>
      </c>
      <c r="D168" s="36">
        <f>IF(B167&lt;'Умови та класичний графік'!$J$14,C167,"")</f>
        <v>49249</v>
      </c>
      <c r="E168" s="26">
        <f>IF(B167&lt;'Умови та класичний графік'!$J$14,C168-1,"")</f>
        <v>49278</v>
      </c>
      <c r="F168" s="37">
        <f>IF(B167&lt;'Умови та класичний графік'!$J$14,E168-D168+1,"")</f>
        <v>30</v>
      </c>
      <c r="G168" s="89">
        <f>IF(B167&lt;'Умови та класичний графік'!$J$14,J168+K168+L168,"")</f>
        <v>126426.94063926933</v>
      </c>
      <c r="H168" s="90"/>
      <c r="I168" s="32">
        <f>IF(B167&lt;'Умови та класичний графік'!$J$14,I167-J168,"")</f>
        <v>4541666.6666666614</v>
      </c>
      <c r="J168" s="32">
        <f>IF(B167&lt;'Умови та класичний графік'!$J$14,J167,"")</f>
        <v>41666.666666666664</v>
      </c>
      <c r="K168" s="32">
        <f>IF(B167&lt;'Умови та класичний графік'!$J$14,((I167*'Умови та класичний графік'!$J$23)/365)*F168,"")</f>
        <v>84760.273972602663</v>
      </c>
      <c r="L168" s="30">
        <f>IF(B167&lt;'Умови та класичний графік'!$J$14,SUM(M168:V168),"")</f>
        <v>0</v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>
        <f>IF(B167&lt;'Умови та класичний графік'!$J$14,XIRR($G$37:G168,$C$37:C168,0),"")</f>
        <v>0.41865802246093753</v>
      </c>
      <c r="X168" s="42"/>
      <c r="Y168" s="35"/>
    </row>
    <row r="169" spans="2:25" x14ac:dyDescent="0.2">
      <c r="B169" s="25">
        <v>132</v>
      </c>
      <c r="C169" s="36">
        <f>IF(B168&lt;'Умови та класичний графік'!$J$14,EDATE(C168,1),"")</f>
        <v>49310</v>
      </c>
      <c r="D169" s="36">
        <f>IF(B168&lt;'Умови та класичний графік'!$J$14,C168,"")</f>
        <v>49279</v>
      </c>
      <c r="E169" s="26">
        <f>IF(B168&lt;'Умови та класичний графік'!$J$14,C169-1,"")</f>
        <v>49309</v>
      </c>
      <c r="F169" s="37">
        <f>IF(B168&lt;'Умови та класичний графік'!$J$14,E169-D169+1,"")</f>
        <v>31</v>
      </c>
      <c r="G169" s="89">
        <f>IF(B168&lt;'Умови та класичний графік'!$J$14,J169+K169+L169,"")</f>
        <v>567956.0502283104</v>
      </c>
      <c r="H169" s="90"/>
      <c r="I169" s="32">
        <f>IF(B168&lt;'Умови та класичний графік'!$J$14,I168-J169,"")</f>
        <v>4499999.9999999944</v>
      </c>
      <c r="J169" s="32">
        <f>IF(B168&lt;'Умови та класичний графік'!$J$14,J168,"")</f>
        <v>41666.666666666664</v>
      </c>
      <c r="K169" s="32">
        <f>IF(B168&lt;'Умови та класичний графік'!$J$14,((I168*'Умови та класичний графік'!$J$23)/365)*F169,"")</f>
        <v>86789.383561643743</v>
      </c>
      <c r="L169" s="30">
        <f>IF(B168&lt;'Умови та класичний графік'!$J$14,SUM(M169:V169),"")</f>
        <v>439500</v>
      </c>
      <c r="M169" s="38"/>
      <c r="N169" s="39"/>
      <c r="O169" s="39"/>
      <c r="P169" s="32"/>
      <c r="Q169" s="40"/>
      <c r="R169" s="40"/>
      <c r="S169" s="41"/>
      <c r="T169" s="41"/>
      <c r="U169" s="33">
        <f>IF(B168&lt;'Умови та класичний графік'!$J$14,('Умови та класичний графік'!$J$15*$N$21)+(I169*$N$22),"")</f>
        <v>439500</v>
      </c>
      <c r="V169" s="41"/>
      <c r="W169" s="43">
        <f>IF(B168&lt;'Умови та класичний графік'!$J$14,XIRR($G$37:G169,$C$37:C169,0),"")</f>
        <v>0.41953188964843757</v>
      </c>
      <c r="X169" s="42"/>
      <c r="Y169" s="35"/>
    </row>
    <row r="170" spans="2:25" x14ac:dyDescent="0.2">
      <c r="B170" s="25">
        <v>133</v>
      </c>
      <c r="C170" s="36">
        <f>IF(B169&lt;'Умови та класичний графік'!$J$14,EDATE(C169,1),"")</f>
        <v>49341</v>
      </c>
      <c r="D170" s="36">
        <f>IF(B169&lt;'Умови та класичний графік'!$J$14,C169,"")</f>
        <v>49310</v>
      </c>
      <c r="E170" s="26">
        <f>IF(B169&lt;'Умови та класичний графік'!$J$14,C170-1,"")</f>
        <v>49340</v>
      </c>
      <c r="F170" s="37">
        <f>IF(B169&lt;'Умови та класичний графік'!$J$14,E170-D170+1,"")</f>
        <v>31</v>
      </c>
      <c r="G170" s="89">
        <f>IF(B169&lt;'Умови та класичний графік'!$J$14,J170+K170+L170,"")</f>
        <v>127659.81735159806</v>
      </c>
      <c r="H170" s="90"/>
      <c r="I170" s="32">
        <f>IF(B169&lt;'Умови та класичний графік'!$J$14,I169-J170,"")</f>
        <v>4458333.3333333274</v>
      </c>
      <c r="J170" s="32">
        <f>IF(B169&lt;'Умови та класичний графік'!$J$14,J169,"")</f>
        <v>41666.666666666664</v>
      </c>
      <c r="K170" s="32">
        <f>IF(B169&lt;'Умови та класичний графік'!$J$14,((I169*'Умови та класичний графік'!$J$23)/365)*F170,"")</f>
        <v>85993.150684931388</v>
      </c>
      <c r="L170" s="30">
        <f>IF(B169&lt;'Умови та класичний графік'!$J$14,SUM(M170:V170),"")</f>
        <v>0</v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>
        <f>IF(B169&lt;'Умови та класичний графік'!$J$14,XIRR($G$37:G170,$C$37:C170,0),"")</f>
        <v>0.4197213623046876</v>
      </c>
      <c r="X170" s="42"/>
      <c r="Y170" s="35"/>
    </row>
    <row r="171" spans="2:25" x14ac:dyDescent="0.2">
      <c r="B171" s="25">
        <v>134</v>
      </c>
      <c r="C171" s="36">
        <f>IF(B170&lt;'Умови та класичний графік'!$J$14,EDATE(C170,1),"")</f>
        <v>49369</v>
      </c>
      <c r="D171" s="36">
        <f>IF(B170&lt;'Умови та класичний графік'!$J$14,C170,"")</f>
        <v>49341</v>
      </c>
      <c r="E171" s="26">
        <f>IF(B170&lt;'Умови та класичний графік'!$J$14,C171-1,"")</f>
        <v>49368</v>
      </c>
      <c r="F171" s="37">
        <f>IF(B170&lt;'Умови та класичний графік'!$J$14,E171-D171+1,"")</f>
        <v>28</v>
      </c>
      <c r="G171" s="89">
        <f>IF(B170&lt;'Умови та класичний графік'!$J$14,J171+K171+L171,"")</f>
        <v>118618.72146118712</v>
      </c>
      <c r="H171" s="90"/>
      <c r="I171" s="32">
        <f>IF(B170&lt;'Умови та класичний графік'!$J$14,I170-J171,"")</f>
        <v>4416666.6666666605</v>
      </c>
      <c r="J171" s="32">
        <f>IF(B170&lt;'Умови та класичний графік'!$J$14,J170,"")</f>
        <v>41666.666666666664</v>
      </c>
      <c r="K171" s="32">
        <f>IF(B170&lt;'Умови та класичний графік'!$J$14,((I170*'Умови та класичний графік'!$J$23)/365)*F171,"")</f>
        <v>76952.054794520445</v>
      </c>
      <c r="L171" s="30">
        <f>IF(B170&lt;'Умови та класичний графік'!$J$14,SUM(M171:V171),"")</f>
        <v>0</v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>
        <f>IF(B170&lt;'Умови та класичний графік'!$J$14,XIRR($G$37:G171,$C$37:C171,0),"")</f>
        <v>0.41989238769531256</v>
      </c>
      <c r="X171" s="42"/>
      <c r="Y171" s="35"/>
    </row>
    <row r="172" spans="2:25" x14ac:dyDescent="0.2">
      <c r="B172" s="25">
        <v>135</v>
      </c>
      <c r="C172" s="36">
        <f>IF(B171&lt;'Умови та класичний графік'!$J$14,EDATE(C171,1),"")</f>
        <v>49400</v>
      </c>
      <c r="D172" s="36">
        <f>IF(B171&lt;'Умови та класичний графік'!$J$14,C171,"")</f>
        <v>49369</v>
      </c>
      <c r="E172" s="26">
        <f>IF(B171&lt;'Умови та класичний графік'!$J$14,C172-1,"")</f>
        <v>49399</v>
      </c>
      <c r="F172" s="37">
        <f>IF(B171&lt;'Умови та класичний графік'!$J$14,E172-D172+1,"")</f>
        <v>31</v>
      </c>
      <c r="G172" s="89">
        <f>IF(B171&lt;'Умови та класичний графік'!$J$14,J172+K172+L172,"")</f>
        <v>126067.35159817341</v>
      </c>
      <c r="H172" s="90"/>
      <c r="I172" s="32">
        <f>IF(B171&lt;'Умови та класичний графік'!$J$14,I171-J172,"")</f>
        <v>4374999.9999999935</v>
      </c>
      <c r="J172" s="32">
        <f>IF(B171&lt;'Умови та класичний графік'!$J$14,J171,"")</f>
        <v>41666.666666666664</v>
      </c>
      <c r="K172" s="32">
        <f>IF(B171&lt;'Умови та класичний графік'!$J$14,((I171*'Умови та класичний графік'!$J$23)/365)*F172,"")</f>
        <v>84400.684931506737</v>
      </c>
      <c r="L172" s="30">
        <f>IF(B171&lt;'Умови та класичний графік'!$J$14,SUM(M172:V172),"")</f>
        <v>0</v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>
        <f>IF(B171&lt;'Умови та класичний графік'!$J$14,XIRR($G$37:G172,$C$37:C172,0),"")</f>
        <v>0.42006845214843758</v>
      </c>
      <c r="X172" s="42"/>
      <c r="Y172" s="35"/>
    </row>
    <row r="173" spans="2:25" x14ac:dyDescent="0.2">
      <c r="B173" s="25">
        <v>136</v>
      </c>
      <c r="C173" s="36">
        <f>IF(B172&lt;'Умови та класичний графік'!$J$14,EDATE(C172,1),"")</f>
        <v>49430</v>
      </c>
      <c r="D173" s="36">
        <f>IF(B172&lt;'Умови та класичний графік'!$J$14,C172,"")</f>
        <v>49400</v>
      </c>
      <c r="E173" s="26">
        <f>IF(B172&lt;'Умови та класичний графік'!$J$14,C173-1,"")</f>
        <v>49429</v>
      </c>
      <c r="F173" s="37">
        <f>IF(B172&lt;'Умови та класичний графік'!$J$14,E173-D173+1,"")</f>
        <v>30</v>
      </c>
      <c r="G173" s="89">
        <f>IF(B172&lt;'Умови та класичний графік'!$J$14,J173+K173+L173,"")</f>
        <v>122574.20091324189</v>
      </c>
      <c r="H173" s="90"/>
      <c r="I173" s="32">
        <f>IF(B172&lt;'Умови та класичний графік'!$J$14,I172-J173,"")</f>
        <v>4333333.3333333265</v>
      </c>
      <c r="J173" s="32">
        <f>IF(B172&lt;'Умови та класичний графік'!$J$14,J172,"")</f>
        <v>41666.666666666664</v>
      </c>
      <c r="K173" s="32">
        <f>IF(B172&lt;'Умови та класичний графік'!$J$14,((I172*'Умови та класичний графік'!$J$23)/365)*F173,"")</f>
        <v>80907.534246575233</v>
      </c>
      <c r="L173" s="30">
        <f>IF(B172&lt;'Умови та класичний графік'!$J$14,SUM(M173:V173),"")</f>
        <v>0</v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>
        <f>IF(B172&lt;'Умови та класичний графік'!$J$14,XIRR($G$37:G173,$C$37:C173,0),"")</f>
        <v>0.42023443847656261</v>
      </c>
      <c r="X173" s="42"/>
      <c r="Y173" s="35"/>
    </row>
    <row r="174" spans="2:25" x14ac:dyDescent="0.2">
      <c r="B174" s="25">
        <v>137</v>
      </c>
      <c r="C174" s="36">
        <f>IF(B173&lt;'Умови та класичний графік'!$J$14,EDATE(C173,1),"")</f>
        <v>49461</v>
      </c>
      <c r="D174" s="36">
        <f>IF(B173&lt;'Умови та класичний графік'!$J$14,C173,"")</f>
        <v>49430</v>
      </c>
      <c r="E174" s="26">
        <f>IF(B173&lt;'Умови та класичний графік'!$J$14,C174-1,"")</f>
        <v>49460</v>
      </c>
      <c r="F174" s="37">
        <f>IF(B173&lt;'Умови та класичний графік'!$J$14,E174-D174+1,"")</f>
        <v>31</v>
      </c>
      <c r="G174" s="89">
        <f>IF(B173&lt;'Умови та класичний графік'!$J$14,J174+K174+L174,"")</f>
        <v>124474.88584474873</v>
      </c>
      <c r="H174" s="90"/>
      <c r="I174" s="32">
        <f>IF(B173&lt;'Умови та класичний графік'!$J$14,I173-J174,"")</f>
        <v>4291666.6666666595</v>
      </c>
      <c r="J174" s="32">
        <f>IF(B173&lt;'Умови та класичний графік'!$J$14,J173,"")</f>
        <v>41666.666666666664</v>
      </c>
      <c r="K174" s="32">
        <f>IF(B173&lt;'Умови та класичний графік'!$J$14,((I173*'Умови та класичний графік'!$J$23)/365)*F174,"")</f>
        <v>82808.219178082058</v>
      </c>
      <c r="L174" s="30">
        <f>IF(B173&lt;'Умови та класичний графік'!$J$14,SUM(M174:V174),"")</f>
        <v>0</v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>
        <f>IF(B173&lt;'Умови та класичний графік'!$J$14,XIRR($G$37:G174,$C$37:C174,0),"")</f>
        <v>0.4203977099609375</v>
      </c>
      <c r="X174" s="42"/>
      <c r="Y174" s="35"/>
    </row>
    <row r="175" spans="2:25" x14ac:dyDescent="0.2">
      <c r="B175" s="25">
        <v>138</v>
      </c>
      <c r="C175" s="36">
        <f>IF(B174&lt;'Умови та класичний графік'!$J$14,EDATE(C174,1),"")</f>
        <v>49491</v>
      </c>
      <c r="D175" s="36">
        <f>IF(B174&lt;'Умови та класичний графік'!$J$14,C174,"")</f>
        <v>49461</v>
      </c>
      <c r="E175" s="26">
        <f>IF(B174&lt;'Умови та класичний графік'!$J$14,C175-1,"")</f>
        <v>49490</v>
      </c>
      <c r="F175" s="37">
        <f>IF(B174&lt;'Умови та класичний графік'!$J$14,E175-D175+1,"")</f>
        <v>30</v>
      </c>
      <c r="G175" s="89">
        <f>IF(B174&lt;'Умови та класичний графік'!$J$14,J175+K175+L175,"")</f>
        <v>121033.10502283092</v>
      </c>
      <c r="H175" s="90"/>
      <c r="I175" s="32">
        <f>IF(B174&lt;'Умови та класичний графік'!$J$14,I174-J175,"")</f>
        <v>4249999.9999999925</v>
      </c>
      <c r="J175" s="32">
        <f>IF(B174&lt;'Умови та класичний графік'!$J$14,J174,"")</f>
        <v>41666.666666666664</v>
      </c>
      <c r="K175" s="32">
        <f>IF(B174&lt;'Умови та класичний графік'!$J$14,((I174*'Умови та класичний графік'!$J$23)/365)*F175,"")</f>
        <v>79366.438356164261</v>
      </c>
      <c r="L175" s="30">
        <f>IF(B174&lt;'Умови та класичний графік'!$J$14,SUM(M175:V175),"")</f>
        <v>0</v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>
        <f>IF(B174&lt;'Умови та класичний графік'!$J$14,XIRR($G$37:G175,$C$37:C175,0),"")</f>
        <v>0.42055166503906261</v>
      </c>
      <c r="X175" s="42"/>
      <c r="Y175" s="35"/>
    </row>
    <row r="176" spans="2:25" x14ac:dyDescent="0.2">
      <c r="B176" s="25">
        <v>139</v>
      </c>
      <c r="C176" s="36">
        <f>IF(B175&lt;'Умови та класичний графік'!$J$14,EDATE(C175,1),"")</f>
        <v>49522</v>
      </c>
      <c r="D176" s="36">
        <f>IF(B175&lt;'Умови та класичний графік'!$J$14,C175,"")</f>
        <v>49491</v>
      </c>
      <c r="E176" s="26">
        <f>IF(B175&lt;'Умови та класичний графік'!$J$14,C176-1,"")</f>
        <v>49521</v>
      </c>
      <c r="F176" s="37">
        <f>IF(B175&lt;'Умови та класичний графік'!$J$14,E176-D176+1,"")</f>
        <v>31</v>
      </c>
      <c r="G176" s="89">
        <f>IF(B175&lt;'Умови та класичний графік'!$J$14,J176+K176+L176,"")</f>
        <v>122882.42009132405</v>
      </c>
      <c r="H176" s="90"/>
      <c r="I176" s="32">
        <f>IF(B175&lt;'Умови та класичний графік'!$J$14,I175-J176,"")</f>
        <v>4208333.3333333256</v>
      </c>
      <c r="J176" s="32">
        <f>IF(B175&lt;'Умови та класичний графік'!$J$14,J175,"")</f>
        <v>41666.666666666664</v>
      </c>
      <c r="K176" s="32">
        <f>IF(B175&lt;'Умови та класичний графік'!$J$14,((I175*'Умови та класичний графік'!$J$23)/365)*F176,"")</f>
        <v>81215.753424657392</v>
      </c>
      <c r="L176" s="30">
        <f>IF(B175&lt;'Умови та класичний графік'!$J$14,SUM(M176:V176),"")</f>
        <v>0</v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>
        <f>IF(B175&lt;'Умови та класичний графік'!$J$14,XIRR($G$37:G176,$C$37:C176,0),"")</f>
        <v>0.42070309082031254</v>
      </c>
      <c r="X176" s="42"/>
      <c r="Y176" s="35"/>
    </row>
    <row r="177" spans="2:25" x14ac:dyDescent="0.2">
      <c r="B177" s="25">
        <v>140</v>
      </c>
      <c r="C177" s="36">
        <f>IF(B176&lt;'Умови та класичний графік'!$J$14,EDATE(C176,1),"")</f>
        <v>49553</v>
      </c>
      <c r="D177" s="36">
        <f>IF(B176&lt;'Умови та класичний графік'!$J$14,C176,"")</f>
        <v>49522</v>
      </c>
      <c r="E177" s="26">
        <f>IF(B176&lt;'Умови та класичний графік'!$J$14,C177-1,"")</f>
        <v>49552</v>
      </c>
      <c r="F177" s="37">
        <f>IF(B176&lt;'Умови та класичний графік'!$J$14,E177-D177+1,"")</f>
        <v>31</v>
      </c>
      <c r="G177" s="89">
        <f>IF(B176&lt;'Умови та класичний графік'!$J$14,J177+K177+L177,"")</f>
        <v>122086.18721461171</v>
      </c>
      <c r="H177" s="90"/>
      <c r="I177" s="32">
        <f>IF(B176&lt;'Умови та класичний графік'!$J$14,I176-J177,"")</f>
        <v>4166666.6666666591</v>
      </c>
      <c r="J177" s="32">
        <f>IF(B176&lt;'Умови та класичний графік'!$J$14,J176,"")</f>
        <v>41666.666666666664</v>
      </c>
      <c r="K177" s="32">
        <f>IF(B176&lt;'Умови та класичний графік'!$J$14,((I176*'Умови та класичний графік'!$J$23)/365)*F177,"")</f>
        <v>80419.520547945052</v>
      </c>
      <c r="L177" s="30">
        <f>IF(B176&lt;'Умови та класичний графік'!$J$14,SUM(M177:V177),"")</f>
        <v>0</v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>
        <f>IF(B176&lt;'Умови та класичний графік'!$J$14,XIRR($G$37:G177,$C$37:C177,0),"")</f>
        <v>0.42084883300781262</v>
      </c>
      <c r="X177" s="42"/>
      <c r="Y177" s="35"/>
    </row>
    <row r="178" spans="2:25" x14ac:dyDescent="0.2">
      <c r="B178" s="25">
        <v>141</v>
      </c>
      <c r="C178" s="36">
        <f>IF(B177&lt;'Умови та класичний графік'!$J$14,EDATE(C177,1),"")</f>
        <v>49583</v>
      </c>
      <c r="D178" s="36">
        <f>IF(B177&lt;'Умови та класичний графік'!$J$14,C177,"")</f>
        <v>49553</v>
      </c>
      <c r="E178" s="26">
        <f>IF(B177&lt;'Умови та класичний графік'!$J$14,C178-1,"")</f>
        <v>49582</v>
      </c>
      <c r="F178" s="37">
        <f>IF(B177&lt;'Умови та класичний графік'!$J$14,E178-D178+1,"")</f>
        <v>30</v>
      </c>
      <c r="G178" s="89">
        <f>IF(B177&lt;'Умови та класичний графік'!$J$14,J178+K178+L178,"")</f>
        <v>118721.46118721447</v>
      </c>
      <c r="H178" s="90"/>
      <c r="I178" s="32">
        <f>IF(B177&lt;'Умови та класичний графік'!$J$14,I177-J178,"")</f>
        <v>4124999.9999999925</v>
      </c>
      <c r="J178" s="32">
        <f>IF(B177&lt;'Умови та класичний графік'!$J$14,J177,"")</f>
        <v>41666.666666666664</v>
      </c>
      <c r="K178" s="32">
        <f>IF(B177&lt;'Умови та класичний графік'!$J$14,((I177*'Умови та класичний графік'!$J$23)/365)*F178,"")</f>
        <v>77054.794520547803</v>
      </c>
      <c r="L178" s="30">
        <f>IF(B177&lt;'Умови та класичний графік'!$J$14,SUM(M178:V178),"")</f>
        <v>0</v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>
        <f>IF(B177&lt;'Умови та класичний графік'!$J$14,XIRR($G$37:G178,$C$37:C178,0),"")</f>
        <v>0.42098629394531262</v>
      </c>
      <c r="X178" s="42"/>
      <c r="Y178" s="35"/>
    </row>
    <row r="179" spans="2:25" x14ac:dyDescent="0.2">
      <c r="B179" s="25">
        <v>142</v>
      </c>
      <c r="C179" s="36">
        <f>IF(B178&lt;'Умови та класичний графік'!$J$14,EDATE(C178,1),"")</f>
        <v>49614</v>
      </c>
      <c r="D179" s="36">
        <f>IF(B178&lt;'Умови та класичний графік'!$J$14,C178,"")</f>
        <v>49583</v>
      </c>
      <c r="E179" s="26">
        <f>IF(B178&lt;'Умови та класичний графік'!$J$14,C179-1,"")</f>
        <v>49613</v>
      </c>
      <c r="F179" s="37">
        <f>IF(B178&lt;'Умови та класичний графік'!$J$14,E179-D179+1,"")</f>
        <v>31</v>
      </c>
      <c r="G179" s="89">
        <f>IF(B178&lt;'Умови та класичний графік'!$J$14,J179+K179+L179,"")</f>
        <v>120493.72146118706</v>
      </c>
      <c r="H179" s="90"/>
      <c r="I179" s="32">
        <f>IF(B178&lt;'Умови та класичний графік'!$J$14,I178-J179,"")</f>
        <v>4083333.333333326</v>
      </c>
      <c r="J179" s="32">
        <f>IF(B178&lt;'Умови та класичний графік'!$J$14,J178,"")</f>
        <v>41666.666666666664</v>
      </c>
      <c r="K179" s="32">
        <f>IF(B178&lt;'Умови та класичний графік'!$J$14,((I178*'Умови та класичний графік'!$J$23)/365)*F179,"")</f>
        <v>78827.054794520402</v>
      </c>
      <c r="L179" s="30">
        <f>IF(B178&lt;'Умови та класичний графік'!$J$14,SUM(M179:V179),"")</f>
        <v>0</v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>
        <f>IF(B178&lt;'Умови та класичний графік'!$J$14,XIRR($G$37:G179,$C$37:C179,0),"")</f>
        <v>0.42112145996093753</v>
      </c>
      <c r="X179" s="42"/>
      <c r="Y179" s="35"/>
    </row>
    <row r="180" spans="2:25" x14ac:dyDescent="0.2">
      <c r="B180" s="25">
        <v>143</v>
      </c>
      <c r="C180" s="36">
        <f>IF(B179&lt;'Умови та класичний графік'!$J$14,EDATE(C179,1),"")</f>
        <v>49644</v>
      </c>
      <c r="D180" s="36">
        <f>IF(B179&lt;'Умови та класичний графік'!$J$14,C179,"")</f>
        <v>49614</v>
      </c>
      <c r="E180" s="26">
        <f>IF(B179&lt;'Умови та класичний графік'!$J$14,C180-1,"")</f>
        <v>49643</v>
      </c>
      <c r="F180" s="37">
        <f>IF(B179&lt;'Умови та класичний графік'!$J$14,E180-D180+1,"")</f>
        <v>30</v>
      </c>
      <c r="G180" s="89">
        <f>IF(B179&lt;'Умови та класичний графік'!$J$14,J180+K180+L180,"")</f>
        <v>117180.3652968035</v>
      </c>
      <c r="H180" s="90"/>
      <c r="I180" s="32">
        <f>IF(B179&lt;'Умови та класичний графік'!$J$14,I179-J180,"")</f>
        <v>4041666.6666666595</v>
      </c>
      <c r="J180" s="32">
        <f>IF(B179&lt;'Умови та класичний графік'!$J$14,J179,"")</f>
        <v>41666.666666666664</v>
      </c>
      <c r="K180" s="32">
        <f>IF(B179&lt;'Умови та класичний графік'!$J$14,((I179*'Умови та класичний графік'!$J$23)/365)*F180,"")</f>
        <v>75513.698630136845</v>
      </c>
      <c r="L180" s="30">
        <f>IF(B179&lt;'Умови та класичний графік'!$J$14,SUM(M180:V180),"")</f>
        <v>0</v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>
        <f>IF(B179&lt;'Умови та класичний графік'!$J$14,XIRR($G$37:G180,$C$37:C180,0),"")</f>
        <v>0.42124895996093759</v>
      </c>
      <c r="X180" s="42"/>
      <c r="Y180" s="35"/>
    </row>
    <row r="181" spans="2:25" x14ac:dyDescent="0.2">
      <c r="B181" s="25">
        <v>144</v>
      </c>
      <c r="C181" s="36">
        <f>IF(B180&lt;'Умови та класичний графік'!$J$14,EDATE(C180,1),"")</f>
        <v>49675</v>
      </c>
      <c r="D181" s="36">
        <f>IF(B180&lt;'Умови та класичний графік'!$J$14,C180,"")</f>
        <v>49644</v>
      </c>
      <c r="E181" s="26">
        <f>IF(B180&lt;'Умови та класичний графік'!$J$14,C181-1,"")</f>
        <v>49674</v>
      </c>
      <c r="F181" s="37">
        <f>IF(B180&lt;'Умови та класичний графік'!$J$14,E181-D181+1,"")</f>
        <v>31</v>
      </c>
      <c r="G181" s="89">
        <f>IF(B180&lt;'Умови та класичний графік'!$J$14,J181+K181+L181,"")</f>
        <v>556901.25570776244</v>
      </c>
      <c r="H181" s="90"/>
      <c r="I181" s="32">
        <f>IF(B180&lt;'Умови та класичний графік'!$J$14,I180-J181,"")</f>
        <v>3999999.999999993</v>
      </c>
      <c r="J181" s="32">
        <f>IF(B180&lt;'Умови та класичний графік'!$J$14,J180,"")</f>
        <v>41666.666666666664</v>
      </c>
      <c r="K181" s="32">
        <f>IF(B180&lt;'Умови та класичний графік'!$J$14,((I180*'Умови та класичний графік'!$J$23)/365)*F181,"")</f>
        <v>77234.589041095751</v>
      </c>
      <c r="L181" s="30">
        <f>IF(B180&lt;'Умови та класичний графік'!$J$14,SUM(M181:V181),"")</f>
        <v>438000</v>
      </c>
      <c r="M181" s="38"/>
      <c r="N181" s="39"/>
      <c r="O181" s="39"/>
      <c r="P181" s="32"/>
      <c r="Q181" s="40"/>
      <c r="R181" s="40"/>
      <c r="S181" s="41"/>
      <c r="T181" s="41"/>
      <c r="U181" s="33">
        <f>IF(B180&lt;'Умови та класичний графік'!$J$14,('Умови та класичний графік'!$J$15*$N$21)+(I181*$N$22),"")</f>
        <v>438000</v>
      </c>
      <c r="V181" s="41"/>
      <c r="W181" s="43">
        <f>IF(B180&lt;'Умови та класичний графік'!$J$14,XIRR($G$37:G181,$C$37:C181,0),"")</f>
        <v>0.42183434082031257</v>
      </c>
      <c r="X181" s="42"/>
      <c r="Y181" s="35"/>
    </row>
    <row r="182" spans="2:25" x14ac:dyDescent="0.2">
      <c r="B182" s="25">
        <v>145</v>
      </c>
      <c r="C182" s="36">
        <f>IF(B181&lt;'Умови та класичний графік'!$J$14,EDATE(C181,1),"")</f>
        <v>49706</v>
      </c>
      <c r="D182" s="36">
        <f>IF(B181&lt;'Умови та класичний графік'!$J$14,C181,"")</f>
        <v>49675</v>
      </c>
      <c r="E182" s="26">
        <f>IF(B181&lt;'Умови та класичний графік'!$J$14,C182-1,"")</f>
        <v>49705</v>
      </c>
      <c r="F182" s="37">
        <f>IF(B181&lt;'Умови та класичний графік'!$J$14,E182-D182+1,"")</f>
        <v>31</v>
      </c>
      <c r="G182" s="89">
        <f>IF(B181&lt;'Умови та класичний графік'!$J$14,J182+K182+L182,"")</f>
        <v>118105.0228310501</v>
      </c>
      <c r="H182" s="90"/>
      <c r="I182" s="32">
        <f>IF(B181&lt;'Умови та класичний графік'!$J$14,I181-J182,"")</f>
        <v>3958333.3333333265</v>
      </c>
      <c r="J182" s="32">
        <f>IF(B181&lt;'Умови та класичний графік'!$J$14,J181,"")</f>
        <v>41666.666666666664</v>
      </c>
      <c r="K182" s="32">
        <f>IF(B181&lt;'Умови та класичний графік'!$J$14,((I181*'Умови та класичний графік'!$J$23)/365)*F182,"")</f>
        <v>76438.35616438344</v>
      </c>
      <c r="L182" s="30">
        <f>IF(B181&lt;'Умови та класичний графік'!$J$14,SUM(M182:V182),"")</f>
        <v>0</v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>
        <f>IF(B181&lt;'Умови та класичний графік'!$J$14,XIRR($G$37:G182,$C$37:C182,0),"")</f>
        <v>0.42195427246093753</v>
      </c>
      <c r="X182" s="42"/>
      <c r="Y182" s="35"/>
    </row>
    <row r="183" spans="2:25" x14ac:dyDescent="0.2">
      <c r="B183" s="25">
        <v>146</v>
      </c>
      <c r="C183" s="36">
        <f>IF(B182&lt;'Умови та класичний графік'!$J$14,EDATE(C182,1),"")</f>
        <v>49735</v>
      </c>
      <c r="D183" s="36">
        <f>IF(B182&lt;'Умови та класичний графік'!$J$14,C182,"")</f>
        <v>49706</v>
      </c>
      <c r="E183" s="26">
        <f>IF(B182&lt;'Умови та класичний графік'!$J$14,C183-1,"")</f>
        <v>49734</v>
      </c>
      <c r="F183" s="37">
        <f>IF(B182&lt;'Умови та класичний графік'!$J$14,E183-D183+1,"")</f>
        <v>29</v>
      </c>
      <c r="G183" s="89">
        <f>IF(B182&lt;'Умови та класичний графік'!$J$14,J183+K183+L183,"")</f>
        <v>112428.65296803642</v>
      </c>
      <c r="H183" s="90"/>
      <c r="I183" s="32">
        <f>IF(B182&lt;'Умови та класичний графік'!$J$14,I182-J183,"")</f>
        <v>3916666.66666666</v>
      </c>
      <c r="J183" s="32">
        <f>IF(B182&lt;'Умови та класичний графік'!$J$14,J182,"")</f>
        <v>41666.666666666664</v>
      </c>
      <c r="K183" s="32">
        <f>IF(B182&lt;'Умови та класичний графік'!$J$14,((I182*'Умови та класичний графік'!$J$23)/365)*F183,"")</f>
        <v>70761.986301369747</v>
      </c>
      <c r="L183" s="30">
        <f>IF(B182&lt;'Умови та класичний графік'!$J$14,SUM(M183:V183),"")</f>
        <v>0</v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>
        <f>IF(B182&lt;'Умови та класичний графік'!$J$14,XIRR($G$37:G183,$C$37:C183,0),"")</f>
        <v>0.42206513183593763</v>
      </c>
      <c r="X183" s="42"/>
      <c r="Y183" s="35"/>
    </row>
    <row r="184" spans="2:25" x14ac:dyDescent="0.2">
      <c r="B184" s="25">
        <v>147</v>
      </c>
      <c r="C184" s="36">
        <f>IF(B183&lt;'Умови та класичний графік'!$J$14,EDATE(C183,1),"")</f>
        <v>49766</v>
      </c>
      <c r="D184" s="36">
        <f>IF(B183&lt;'Умови та класичний графік'!$J$14,C183,"")</f>
        <v>49735</v>
      </c>
      <c r="E184" s="26">
        <f>IF(B183&lt;'Умови та класичний графік'!$J$14,C184-1,"")</f>
        <v>49765</v>
      </c>
      <c r="F184" s="37">
        <f>IF(B183&lt;'Умови та класичний графік'!$J$14,E184-D184+1,"")</f>
        <v>31</v>
      </c>
      <c r="G184" s="89">
        <f>IF(B183&lt;'Умови та класичний графік'!$J$14,J184+K184+L184,"")</f>
        <v>116512.55707762545</v>
      </c>
      <c r="H184" s="90"/>
      <c r="I184" s="32">
        <f>IF(B183&lt;'Умови та класичний графік'!$J$14,I183-J184,"")</f>
        <v>3874999.9999999935</v>
      </c>
      <c r="J184" s="32">
        <f>IF(B183&lt;'Умови та класичний графік'!$J$14,J183,"")</f>
        <v>41666.666666666664</v>
      </c>
      <c r="K184" s="32">
        <f>IF(B183&lt;'Умови та класичний графік'!$J$14,((I183*'Умови та класичний графік'!$J$23)/365)*F184,"")</f>
        <v>74845.890410958775</v>
      </c>
      <c r="L184" s="30">
        <f>IF(B183&lt;'Умови та класичний графік'!$J$14,SUM(M184:V184),"")</f>
        <v>0</v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>
        <f>IF(B183&lt;'Умови та класичний графік'!$J$14,XIRR($G$37:G184,$C$37:C184,0),"")</f>
        <v>0.42217646972656264</v>
      </c>
      <c r="X184" s="42"/>
      <c r="Y184" s="35"/>
    </row>
    <row r="185" spans="2:25" x14ac:dyDescent="0.2">
      <c r="B185" s="25">
        <v>148</v>
      </c>
      <c r="C185" s="36">
        <f>IF(B184&lt;'Умови та класичний графік'!$J$14,EDATE(C184,1),"")</f>
        <v>49796</v>
      </c>
      <c r="D185" s="36">
        <f>IF(B184&lt;'Умови та класичний графік'!$J$14,C184,"")</f>
        <v>49766</v>
      </c>
      <c r="E185" s="26">
        <f>IF(B184&lt;'Умови та класичний графік'!$J$14,C185-1,"")</f>
        <v>49795</v>
      </c>
      <c r="F185" s="37">
        <f>IF(B184&lt;'Умови та класичний графік'!$J$14,E185-D185+1,"")</f>
        <v>30</v>
      </c>
      <c r="G185" s="89">
        <f>IF(B184&lt;'Умови та класичний графік'!$J$14,J185+K185+L185,"")</f>
        <v>113327.62557077614</v>
      </c>
      <c r="H185" s="90"/>
      <c r="I185" s="32">
        <f>IF(B184&lt;'Умови та класичний графік'!$J$14,I184-J185,"")</f>
        <v>3833333.333333327</v>
      </c>
      <c r="J185" s="32">
        <f>IF(B184&lt;'Умови та класичний графік'!$J$14,J184,"")</f>
        <v>41666.666666666664</v>
      </c>
      <c r="K185" s="32">
        <f>IF(B184&lt;'Умови та класичний графік'!$J$14,((I184*'Умови та класичний графік'!$J$23)/365)*F185,"")</f>
        <v>71660.958904109473</v>
      </c>
      <c r="L185" s="30">
        <f>IF(B184&lt;'Умови та класичний графік'!$J$14,SUM(M185:V185),"")</f>
        <v>0</v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>
        <f>IF(B184&lt;'Умови та класичний графік'!$J$14,XIRR($G$37:G185,$C$37:C185,0),"")</f>
        <v>0.42228151855468765</v>
      </c>
      <c r="X185" s="42"/>
      <c r="Y185" s="35"/>
    </row>
    <row r="186" spans="2:25" x14ac:dyDescent="0.2">
      <c r="B186" s="25">
        <v>149</v>
      </c>
      <c r="C186" s="36">
        <f>IF(B185&lt;'Умови та класичний графік'!$J$14,EDATE(C185,1),"")</f>
        <v>49827</v>
      </c>
      <c r="D186" s="36">
        <f>IF(B185&lt;'Умови та класичний графік'!$J$14,C185,"")</f>
        <v>49796</v>
      </c>
      <c r="E186" s="26">
        <f>IF(B185&lt;'Умови та класичний графік'!$J$14,C186-1,"")</f>
        <v>49826</v>
      </c>
      <c r="F186" s="37">
        <f>IF(B185&lt;'Умови та класичний графік'!$J$14,E186-D186+1,"")</f>
        <v>31</v>
      </c>
      <c r="G186" s="89">
        <f>IF(B185&lt;'Умови та класичний графік'!$J$14,J186+K186+L186,"")</f>
        <v>114920.0913242008</v>
      </c>
      <c r="H186" s="90"/>
      <c r="I186" s="32">
        <f>IF(B185&lt;'Умови та класичний графік'!$J$14,I185-J186,"")</f>
        <v>3791666.6666666605</v>
      </c>
      <c r="J186" s="32">
        <f>IF(B185&lt;'Умови та класичний графік'!$J$14,J185,"")</f>
        <v>41666.666666666664</v>
      </c>
      <c r="K186" s="32">
        <f>IF(B185&lt;'Умови та класичний графік'!$J$14,((I185*'Умови та класичний графік'!$J$23)/365)*F186,"")</f>
        <v>73253.424657534124</v>
      </c>
      <c r="L186" s="30">
        <f>IF(B185&lt;'Умови та класичний графік'!$J$14,SUM(M186:V186),"")</f>
        <v>0</v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>
        <f>IF(B185&lt;'Умови та класичний графік'!$J$14,XIRR($G$37:G186,$C$37:C186,0),"")</f>
        <v>0.4223847509765627</v>
      </c>
      <c r="X186" s="42"/>
      <c r="Y186" s="35"/>
    </row>
    <row r="187" spans="2:25" x14ac:dyDescent="0.2">
      <c r="B187" s="25">
        <v>150</v>
      </c>
      <c r="C187" s="36">
        <f>IF(B186&lt;'Умови та класичний графік'!$J$14,EDATE(C186,1),"")</f>
        <v>49857</v>
      </c>
      <c r="D187" s="36">
        <f>IF(B186&lt;'Умови та класичний графік'!$J$14,C186,"")</f>
        <v>49827</v>
      </c>
      <c r="E187" s="26">
        <f>IF(B186&lt;'Умови та класичний графік'!$J$14,C187-1,"")</f>
        <v>49856</v>
      </c>
      <c r="F187" s="37">
        <f>IF(B186&lt;'Умови та класичний графік'!$J$14,E187-D187+1,"")</f>
        <v>30</v>
      </c>
      <c r="G187" s="89">
        <f>IF(B186&lt;'Умови та класичний графік'!$J$14,J187+K187+L187,"")</f>
        <v>111786.52968036517</v>
      </c>
      <c r="H187" s="90"/>
      <c r="I187" s="32">
        <f>IF(B186&lt;'Умови та класичний графік'!$J$14,I186-J187,"")</f>
        <v>3749999.9999999939</v>
      </c>
      <c r="J187" s="32">
        <f>IF(B186&lt;'Умови та класичний графік'!$J$14,J186,"")</f>
        <v>41666.666666666664</v>
      </c>
      <c r="K187" s="32">
        <f>IF(B186&lt;'Умови та класичний графік'!$J$14,((I186*'Умови та класичний графік'!$J$23)/365)*F187,"")</f>
        <v>70119.863013698516</v>
      </c>
      <c r="L187" s="30">
        <f>IF(B186&lt;'Умови та класичний графік'!$J$14,SUM(M187:V187),"")</f>
        <v>0</v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>
        <f>IF(B186&lt;'Умови та класичний графік'!$J$14,XIRR($G$37:G187,$C$37:C187,0),"")</f>
        <v>0.42248218261718762</v>
      </c>
      <c r="X187" s="42"/>
      <c r="Y187" s="35"/>
    </row>
    <row r="188" spans="2:25" x14ac:dyDescent="0.2">
      <c r="B188" s="25">
        <v>151</v>
      </c>
      <c r="C188" s="36">
        <f>IF(B187&lt;'Умови та класичний графік'!$J$14,EDATE(C187,1),"")</f>
        <v>49888</v>
      </c>
      <c r="D188" s="36">
        <f>IF(B187&lt;'Умови та класичний графік'!$J$14,C187,"")</f>
        <v>49857</v>
      </c>
      <c r="E188" s="26">
        <f>IF(B187&lt;'Умови та класичний графік'!$J$14,C188-1,"")</f>
        <v>49887</v>
      </c>
      <c r="F188" s="37">
        <f>IF(B187&lt;'Умови та класичний графік'!$J$14,E188-D188+1,"")</f>
        <v>31</v>
      </c>
      <c r="G188" s="89">
        <f>IF(B187&lt;'Умови та класичний графік'!$J$14,J188+K188+L188,"")</f>
        <v>113327.62557077614</v>
      </c>
      <c r="H188" s="90"/>
      <c r="I188" s="32">
        <f>IF(B187&lt;'Умови та класичний графік'!$J$14,I187-J188,"")</f>
        <v>3708333.3333333274</v>
      </c>
      <c r="J188" s="32">
        <f>IF(B187&lt;'Умови та класичний графік'!$J$14,J187,"")</f>
        <v>41666.666666666664</v>
      </c>
      <c r="K188" s="32">
        <f>IF(B187&lt;'Умови та класичний графік'!$J$14,((I187*'Умови та класичний графік'!$J$23)/365)*F188,"")</f>
        <v>71660.958904109473</v>
      </c>
      <c r="L188" s="30">
        <f>IF(B187&lt;'Умови та класичний графік'!$J$14,SUM(M188:V188),"")</f>
        <v>0</v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>
        <f>IF(B187&lt;'Умови та класичний графік'!$J$14,XIRR($G$37:G188,$C$37:C188,0),"")</f>
        <v>0.42257791503906261</v>
      </c>
      <c r="X188" s="42"/>
      <c r="Y188" s="35"/>
    </row>
    <row r="189" spans="2:25" x14ac:dyDescent="0.2">
      <c r="B189" s="25">
        <v>152</v>
      </c>
      <c r="C189" s="36">
        <f>IF(B188&lt;'Умови та класичний графік'!$J$14,EDATE(C188,1),"")</f>
        <v>49919</v>
      </c>
      <c r="D189" s="36">
        <f>IF(B188&lt;'Умови та класичний графік'!$J$14,C188,"")</f>
        <v>49888</v>
      </c>
      <c r="E189" s="26">
        <f>IF(B188&lt;'Умови та класичний графік'!$J$14,C189-1,"")</f>
        <v>49918</v>
      </c>
      <c r="F189" s="37">
        <f>IF(B188&lt;'Умови та класичний графік'!$J$14,E189-D189+1,"")</f>
        <v>31</v>
      </c>
      <c r="G189" s="89">
        <f>IF(B188&lt;'Умови та класичний графік'!$J$14,J189+K189+L189,"")</f>
        <v>112531.3926940638</v>
      </c>
      <c r="H189" s="90"/>
      <c r="I189" s="32">
        <f>IF(B188&lt;'Умови та класичний графік'!$J$14,I188-J189,"")</f>
        <v>3666666.6666666609</v>
      </c>
      <c r="J189" s="32">
        <f>IF(B188&lt;'Умови та класичний графік'!$J$14,J188,"")</f>
        <v>41666.666666666664</v>
      </c>
      <c r="K189" s="32">
        <f>IF(B188&lt;'Умови та класичний графік'!$J$14,((I188*'Умови та класичний графік'!$J$23)/365)*F189,"")</f>
        <v>70864.726027397148</v>
      </c>
      <c r="L189" s="30">
        <f>IF(B188&lt;'Умови та класичний графік'!$J$14,SUM(M189:V189),"")</f>
        <v>0</v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>
        <f>IF(B188&lt;'Умови та класичний графік'!$J$14,XIRR($G$37:G189,$C$37:C189,0),"")</f>
        <v>0.4226700439453126</v>
      </c>
      <c r="X189" s="42"/>
      <c r="Y189" s="35"/>
    </row>
    <row r="190" spans="2:25" x14ac:dyDescent="0.2">
      <c r="B190" s="25">
        <v>153</v>
      </c>
      <c r="C190" s="36">
        <f>IF(B189&lt;'Умови та класичний графік'!$J$14,EDATE(C189,1),"")</f>
        <v>49949</v>
      </c>
      <c r="D190" s="36">
        <f>IF(B189&lt;'Умови та класичний графік'!$J$14,C189,"")</f>
        <v>49919</v>
      </c>
      <c r="E190" s="26">
        <f>IF(B189&lt;'Умови та класичний графік'!$J$14,C190-1,"")</f>
        <v>49948</v>
      </c>
      <c r="F190" s="37">
        <f>IF(B189&lt;'Умови та класичний графік'!$J$14,E190-D190+1,"")</f>
        <v>30</v>
      </c>
      <c r="G190" s="89">
        <f>IF(B189&lt;'Умови та класичний графік'!$J$14,J190+K190+L190,"")</f>
        <v>109474.88584474876</v>
      </c>
      <c r="H190" s="90"/>
      <c r="I190" s="32">
        <f>IF(B189&lt;'Умови та класичний графік'!$J$14,I189-J190,"")</f>
        <v>3624999.9999999944</v>
      </c>
      <c r="J190" s="32">
        <f>IF(B189&lt;'Умови та класичний графік'!$J$14,J189,"")</f>
        <v>41666.666666666664</v>
      </c>
      <c r="K190" s="32">
        <f>IF(B189&lt;'Умови та класичний графік'!$J$14,((I189*'Умови та класичний графік'!$J$23)/365)*F190,"")</f>
        <v>67808.219178082087</v>
      </c>
      <c r="L190" s="30">
        <f>IF(B189&lt;'Умови та класичний графік'!$J$14,SUM(M190:V190),"")</f>
        <v>0</v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>
        <f>IF(B189&lt;'Умови та класичний графік'!$J$14,XIRR($G$37:G190,$C$37:C190,0),"")</f>
        <v>0.42275700683593764</v>
      </c>
      <c r="X190" s="42"/>
      <c r="Y190" s="35"/>
    </row>
    <row r="191" spans="2:25" x14ac:dyDescent="0.2">
      <c r="B191" s="25">
        <v>154</v>
      </c>
      <c r="C191" s="36">
        <f>IF(B190&lt;'Умови та класичний графік'!$J$14,EDATE(C190,1),"")</f>
        <v>49980</v>
      </c>
      <c r="D191" s="36">
        <f>IF(B190&lt;'Умови та класичний графік'!$J$14,C190,"")</f>
        <v>49949</v>
      </c>
      <c r="E191" s="26">
        <f>IF(B190&lt;'Умови та класичний графік'!$J$14,C191-1,"")</f>
        <v>49979</v>
      </c>
      <c r="F191" s="37">
        <f>IF(B190&lt;'Умови та класичний графік'!$J$14,E191-D191+1,"")</f>
        <v>31</v>
      </c>
      <c r="G191" s="89">
        <f>IF(B190&lt;'Умови та класичний графік'!$J$14,J191+K191+L191,"")</f>
        <v>110938.92694063915</v>
      </c>
      <c r="H191" s="90"/>
      <c r="I191" s="32">
        <f>IF(B190&lt;'Умови та класичний графік'!$J$14,I190-J191,"")</f>
        <v>3583333.3333333279</v>
      </c>
      <c r="J191" s="32">
        <f>IF(B190&lt;'Умови та класичний графік'!$J$14,J190,"")</f>
        <v>41666.666666666664</v>
      </c>
      <c r="K191" s="32">
        <f>IF(B190&lt;'Умови та класичний графік'!$J$14,((I190*'Умови та класичний графік'!$J$23)/365)*F191,"")</f>
        <v>69272.260273972497</v>
      </c>
      <c r="L191" s="30">
        <f>IF(B190&lt;'Умови та класичний графік'!$J$14,SUM(M191:V191),"")</f>
        <v>0</v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>
        <f>IF(B190&lt;'Умови та класичний графік'!$J$14,XIRR($G$37:G191,$C$37:C191,0),"")</f>
        <v>0.42284242675781258</v>
      </c>
      <c r="X191" s="42"/>
      <c r="Y191" s="35"/>
    </row>
    <row r="192" spans="2:25" x14ac:dyDescent="0.2">
      <c r="B192" s="25">
        <v>155</v>
      </c>
      <c r="C192" s="36">
        <f>IF(B191&lt;'Умови та класичний графік'!$J$14,EDATE(C191,1),"")</f>
        <v>50010</v>
      </c>
      <c r="D192" s="36">
        <f>IF(B191&lt;'Умови та класичний графік'!$J$14,C191,"")</f>
        <v>49980</v>
      </c>
      <c r="E192" s="26">
        <f>IF(B191&lt;'Умови та класичний графік'!$J$14,C192-1,"")</f>
        <v>50009</v>
      </c>
      <c r="F192" s="37">
        <f>IF(B191&lt;'Умови та класичний графік'!$J$14,E192-D192+1,"")</f>
        <v>30</v>
      </c>
      <c r="G192" s="89">
        <f>IF(B191&lt;'Умови та класичний графік'!$J$14,J192+K192+L192,"")</f>
        <v>107933.78995433782</v>
      </c>
      <c r="H192" s="90"/>
      <c r="I192" s="32">
        <f>IF(B191&lt;'Умови та класичний графік'!$J$14,I191-J192,"")</f>
        <v>3541666.6666666614</v>
      </c>
      <c r="J192" s="32">
        <f>IF(B191&lt;'Умови та класичний графік'!$J$14,J191,"")</f>
        <v>41666.666666666664</v>
      </c>
      <c r="K192" s="32">
        <f>IF(B191&lt;'Умови та класичний графік'!$J$14,((I191*'Умови та класичний графік'!$J$23)/365)*F192,"")</f>
        <v>66267.123287671144</v>
      </c>
      <c r="L192" s="30">
        <f>IF(B191&lt;'Умови та класичний графік'!$J$14,SUM(M192:V192),"")</f>
        <v>0</v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>
        <f>IF(B191&lt;'Умови та класичний графік'!$J$14,XIRR($G$37:G192,$C$37:C192,0),"")</f>
        <v>0.42292307128906259</v>
      </c>
      <c r="X192" s="42"/>
      <c r="Y192" s="35"/>
    </row>
    <row r="193" spans="2:25" x14ac:dyDescent="0.2">
      <c r="B193" s="25">
        <v>156</v>
      </c>
      <c r="C193" s="36">
        <f>IF(B192&lt;'Умови та класичний графік'!$J$14,EDATE(C192,1),"")</f>
        <v>50041</v>
      </c>
      <c r="D193" s="36">
        <f>IF(B192&lt;'Умови та класичний графік'!$J$14,C192,"")</f>
        <v>50010</v>
      </c>
      <c r="E193" s="26">
        <f>IF(B192&lt;'Умови та класичний графік'!$J$14,C193-1,"")</f>
        <v>50040</v>
      </c>
      <c r="F193" s="37">
        <f>IF(B192&lt;'Умови та класичний графік'!$J$14,E193-D193+1,"")</f>
        <v>31</v>
      </c>
      <c r="G193" s="89">
        <f>IF(B192&lt;'Умови та класичний графік'!$J$14,J193+K193+L193,"")</f>
        <v>545846.46118721447</v>
      </c>
      <c r="H193" s="90"/>
      <c r="I193" s="32">
        <f>IF(B192&lt;'Умови та класичний графік'!$J$14,I192-J193,"")</f>
        <v>3499999.9999999949</v>
      </c>
      <c r="J193" s="32">
        <f>IF(B192&lt;'Умови та класичний графік'!$J$14,J192,"")</f>
        <v>41666.666666666664</v>
      </c>
      <c r="K193" s="32">
        <f>IF(B192&lt;'Умови та класичний графік'!$J$14,((I192*'Умови та класичний графік'!$J$23)/365)*F193,"")</f>
        <v>67679.794520547846</v>
      </c>
      <c r="L193" s="30">
        <f>IF(B192&lt;'Умови та класичний графік'!$J$14,SUM(M193:V193),"")</f>
        <v>436500</v>
      </c>
      <c r="M193" s="38"/>
      <c r="N193" s="39"/>
      <c r="O193" s="39"/>
      <c r="P193" s="32"/>
      <c r="Q193" s="40"/>
      <c r="R193" s="40"/>
      <c r="S193" s="41"/>
      <c r="T193" s="41"/>
      <c r="U193" s="33">
        <f>IF(B192&lt;'Умови та класичний графік'!$J$14,('Умови та класичний графік'!$J$15*$N$21)+(I193*$N$22),"")</f>
        <v>436500</v>
      </c>
      <c r="V193" s="41"/>
      <c r="W193" s="43">
        <f>IF(B192&lt;'Умови та класичний графік'!$J$14,XIRR($G$37:G193,$C$37:C193,0),"")</f>
        <v>0.42331750488281261</v>
      </c>
      <c r="X193" s="42"/>
      <c r="Y193" s="35"/>
    </row>
    <row r="194" spans="2:25" x14ac:dyDescent="0.2">
      <c r="B194" s="25">
        <v>157</v>
      </c>
      <c r="C194" s="36">
        <f>IF(B193&lt;'Умови та класичний графік'!$J$14,EDATE(C193,1),"")</f>
        <v>50072</v>
      </c>
      <c r="D194" s="36">
        <f>IF(B193&lt;'Умови та класичний графік'!$J$14,C193,"")</f>
        <v>50041</v>
      </c>
      <c r="E194" s="26">
        <f>IF(B193&lt;'Умови та класичний графік'!$J$14,C194-1,"")</f>
        <v>50071</v>
      </c>
      <c r="F194" s="37">
        <f>IF(B193&lt;'Умови та класичний графік'!$J$14,E194-D194+1,"")</f>
        <v>31</v>
      </c>
      <c r="G194" s="89">
        <f>IF(B193&lt;'Умови та класичний графік'!$J$14,J194+K194+L194,"")</f>
        <v>108550.22831050219</v>
      </c>
      <c r="H194" s="90"/>
      <c r="I194" s="32">
        <f>IF(B193&lt;'Умови та класичний графік'!$J$14,I193-J194,"")</f>
        <v>3458333.3333333284</v>
      </c>
      <c r="J194" s="32">
        <f>IF(B193&lt;'Умови та класичний графік'!$J$14,J193,"")</f>
        <v>41666.666666666664</v>
      </c>
      <c r="K194" s="32">
        <f>IF(B193&lt;'Умови та класичний графік'!$J$14,((I193*'Умови та класичний графік'!$J$23)/365)*F194,"")</f>
        <v>66883.561643835521</v>
      </c>
      <c r="L194" s="30">
        <f>IF(B193&lt;'Умови та класичний графік'!$J$14,SUM(M194:V194),"")</f>
        <v>0</v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>
        <f>IF(B193&lt;'Умови та класичний графік'!$J$14,XIRR($G$37:G194,$C$37:C194,0),"")</f>
        <v>0.42339336425781249</v>
      </c>
      <c r="X194" s="42"/>
      <c r="Y194" s="35"/>
    </row>
    <row r="195" spans="2:25" x14ac:dyDescent="0.2">
      <c r="B195" s="25">
        <v>158</v>
      </c>
      <c r="C195" s="36">
        <f>IF(B194&lt;'Умови та класичний графік'!$J$14,EDATE(C194,1),"")</f>
        <v>50100</v>
      </c>
      <c r="D195" s="36">
        <f>IF(B194&lt;'Умови та класичний графік'!$J$14,C194,"")</f>
        <v>50072</v>
      </c>
      <c r="E195" s="26">
        <f>IF(B194&lt;'Умови та класичний графік'!$J$14,C195-1,"")</f>
        <v>50099</v>
      </c>
      <c r="F195" s="37">
        <f>IF(B194&lt;'Умови та класичний графік'!$J$14,E195-D195+1,"")</f>
        <v>28</v>
      </c>
      <c r="G195" s="89">
        <f>IF(B194&lt;'Умови та класичний графік'!$J$14,J195+K195+L195,"")</f>
        <v>101358.4474885844</v>
      </c>
      <c r="H195" s="90"/>
      <c r="I195" s="32">
        <f>IF(B194&lt;'Умови та класичний графік'!$J$14,I194-J195,"")</f>
        <v>3416666.6666666619</v>
      </c>
      <c r="J195" s="32">
        <f>IF(B194&lt;'Умови та класичний графік'!$J$14,J194,"")</f>
        <v>41666.666666666664</v>
      </c>
      <c r="K195" s="32">
        <f>IF(B194&lt;'Умови та класичний графік'!$J$14,((I194*'Умови та класичний графік'!$J$23)/365)*F195,"")</f>
        <v>59691.780821917731</v>
      </c>
      <c r="L195" s="30">
        <f>IF(B194&lt;'Умови та класичний графік'!$J$14,SUM(M195:V195),"")</f>
        <v>0</v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>
        <f>IF(B194&lt;'Умови та класичний графік'!$J$14,XIRR($G$37:G195,$C$37:C195,0),"")</f>
        <v>0.42346224121093756</v>
      </c>
      <c r="X195" s="42"/>
      <c r="Y195" s="35"/>
    </row>
    <row r="196" spans="2:25" x14ac:dyDescent="0.2">
      <c r="B196" s="25">
        <v>159</v>
      </c>
      <c r="C196" s="36">
        <f>IF(B195&lt;'Умови та класичний графік'!$J$14,EDATE(C195,1),"")</f>
        <v>50131</v>
      </c>
      <c r="D196" s="36">
        <f>IF(B195&lt;'Умови та класичний графік'!$J$14,C195,"")</f>
        <v>50100</v>
      </c>
      <c r="E196" s="26">
        <f>IF(B195&lt;'Умови та класичний графік'!$J$14,C196-1,"")</f>
        <v>50130</v>
      </c>
      <c r="F196" s="37">
        <f>IF(B195&lt;'Умови та класичний графік'!$J$14,E196-D196+1,"")</f>
        <v>31</v>
      </c>
      <c r="G196" s="89">
        <f>IF(B195&lt;'Умови та класичний графік'!$J$14,J196+K196+L196,"")</f>
        <v>106957.76255707754</v>
      </c>
      <c r="H196" s="90"/>
      <c r="I196" s="32">
        <f>IF(B195&lt;'Умови та класичний графік'!$J$14,I195-J196,"")</f>
        <v>3374999.9999999953</v>
      </c>
      <c r="J196" s="32">
        <f>IF(B195&lt;'Умови та класичний графік'!$J$14,J195,"")</f>
        <v>41666.666666666664</v>
      </c>
      <c r="K196" s="32">
        <f>IF(B195&lt;'Умови та класичний графік'!$J$14,((I195*'Умови та класичний графік'!$J$23)/365)*F196,"")</f>
        <v>65291.09589041087</v>
      </c>
      <c r="L196" s="30">
        <f>IF(B195&lt;'Умови та класичний графік'!$J$14,SUM(M196:V196),"")</f>
        <v>0</v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>
        <f>IF(B195&lt;'Умови та класичний графік'!$J$14,XIRR($G$37:G196,$C$37:C196,0),"")</f>
        <v>0.42353270019531253</v>
      </c>
      <c r="X196" s="42"/>
      <c r="Y196" s="35"/>
    </row>
    <row r="197" spans="2:25" x14ac:dyDescent="0.2">
      <c r="B197" s="25">
        <v>160</v>
      </c>
      <c r="C197" s="36">
        <f>IF(B196&lt;'Умови та класичний графік'!$J$14,EDATE(C196,1),"")</f>
        <v>50161</v>
      </c>
      <c r="D197" s="36">
        <f>IF(B196&lt;'Умови та класичний графік'!$J$14,C196,"")</f>
        <v>50131</v>
      </c>
      <c r="E197" s="26">
        <f>IF(B196&lt;'Умови та класичний графік'!$J$14,C197-1,"")</f>
        <v>50160</v>
      </c>
      <c r="F197" s="37">
        <f>IF(B196&lt;'Умови та класичний графік'!$J$14,E197-D197+1,"")</f>
        <v>30</v>
      </c>
      <c r="G197" s="89">
        <f>IF(B196&lt;'Умови та класичний графік'!$J$14,J197+K197+L197,"")</f>
        <v>104081.05022831041</v>
      </c>
      <c r="H197" s="90"/>
      <c r="I197" s="32">
        <f>IF(B196&lt;'Умови та класичний графік'!$J$14,I196-J197,"")</f>
        <v>3333333.3333333288</v>
      </c>
      <c r="J197" s="32">
        <f>IF(B196&lt;'Умови та класичний графік'!$J$14,J196,"")</f>
        <v>41666.666666666664</v>
      </c>
      <c r="K197" s="32">
        <f>IF(B196&lt;'Умови та класичний графік'!$J$14,((I196*'Умови та класичний графік'!$J$23)/365)*F197,"")</f>
        <v>62414.38356164375</v>
      </c>
      <c r="L197" s="30">
        <f>IF(B196&lt;'Умови та класичний графік'!$J$14,SUM(M197:V197),"")</f>
        <v>0</v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>
        <f>IF(B196&lt;'Умови та класичний графік'!$J$14,XIRR($G$37:G197,$C$37:C197,0),"")</f>
        <v>0.42359924316406261</v>
      </c>
      <c r="X197" s="42"/>
      <c r="Y197" s="35"/>
    </row>
    <row r="198" spans="2:25" x14ac:dyDescent="0.2">
      <c r="B198" s="25">
        <v>161</v>
      </c>
      <c r="C198" s="36">
        <f>IF(B197&lt;'Умови та класичний графік'!$J$14,EDATE(C197,1),"")</f>
        <v>50192</v>
      </c>
      <c r="D198" s="36">
        <f>IF(B197&lt;'Умови та класичний графік'!$J$14,C197,"")</f>
        <v>50161</v>
      </c>
      <c r="E198" s="26">
        <f>IF(B197&lt;'Умови та класичний графік'!$J$14,C198-1,"")</f>
        <v>50191</v>
      </c>
      <c r="F198" s="37">
        <f>IF(B197&lt;'Умови та класичний графік'!$J$14,E198-D198+1,"")</f>
        <v>31</v>
      </c>
      <c r="G198" s="89">
        <f>IF(B197&lt;'Умови та класичний графік'!$J$14,J198+K198+L198,"")</f>
        <v>105365.29680365288</v>
      </c>
      <c r="H198" s="90"/>
      <c r="I198" s="32">
        <f>IF(B197&lt;'Умови та класичний графік'!$J$14,I197-J198,"")</f>
        <v>3291666.6666666623</v>
      </c>
      <c r="J198" s="32">
        <f>IF(B197&lt;'Умови та класичний графік'!$J$14,J197,"")</f>
        <v>41666.666666666664</v>
      </c>
      <c r="K198" s="32">
        <f>IF(B197&lt;'Умови та класичний графік'!$J$14,((I197*'Умови та класичний графік'!$J$23)/365)*F198,"")</f>
        <v>63698.630136986212</v>
      </c>
      <c r="L198" s="30">
        <f>IF(B197&lt;'Умови та класичний графік'!$J$14,SUM(M198:V198),"")</f>
        <v>0</v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>
        <f>IF(B197&lt;'Умови та класичний графік'!$J$14,XIRR($G$37:G198,$C$37:C198,0),"")</f>
        <v>0.42366454589843761</v>
      </c>
      <c r="X198" s="42"/>
      <c r="Y198" s="35"/>
    </row>
    <row r="199" spans="2:25" x14ac:dyDescent="0.2">
      <c r="B199" s="25">
        <v>162</v>
      </c>
      <c r="C199" s="36">
        <f>IF(B198&lt;'Умови та класичний графік'!$J$14,EDATE(C198,1),"")</f>
        <v>50222</v>
      </c>
      <c r="D199" s="36">
        <f>IF(B198&lt;'Умови та класичний графік'!$J$14,C198,"")</f>
        <v>50192</v>
      </c>
      <c r="E199" s="26">
        <f>IF(B198&lt;'Умови та класичний графік'!$J$14,C199-1,"")</f>
        <v>50221</v>
      </c>
      <c r="F199" s="37">
        <f>IF(B198&lt;'Умови та класичний графік'!$J$14,E199-D199+1,"")</f>
        <v>30</v>
      </c>
      <c r="G199" s="89">
        <f>IF(B198&lt;'Умови та класичний графік'!$J$14,J199+K199+L199,"")</f>
        <v>102539.95433789946</v>
      </c>
      <c r="H199" s="90"/>
      <c r="I199" s="32">
        <f>IF(B198&lt;'Умови та класичний графік'!$J$14,I198-J199,"")</f>
        <v>3249999.9999999958</v>
      </c>
      <c r="J199" s="32">
        <f>IF(B198&lt;'Умови та класичний графік'!$J$14,J198,"")</f>
        <v>41666.666666666664</v>
      </c>
      <c r="K199" s="32">
        <f>IF(B198&lt;'Умови та класичний графік'!$J$14,((I198*'Умови та класичний графік'!$J$23)/365)*F199,"")</f>
        <v>60873.2876712328</v>
      </c>
      <c r="L199" s="30">
        <f>IF(B198&lt;'Умови та класичний графік'!$J$14,SUM(M199:V199),"")</f>
        <v>0</v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>
        <f>IF(B198&lt;'Умови та класичний графік'!$J$14,XIRR($G$37:G199,$C$37:C199,0),"")</f>
        <v>0.42372621582031267</v>
      </c>
      <c r="X199" s="42"/>
      <c r="Y199" s="35"/>
    </row>
    <row r="200" spans="2:25" x14ac:dyDescent="0.2">
      <c r="B200" s="25">
        <v>163</v>
      </c>
      <c r="C200" s="36">
        <f>IF(B199&lt;'Умови та класичний графік'!$J$14,EDATE(C199,1),"")</f>
        <v>50253</v>
      </c>
      <c r="D200" s="36">
        <f>IF(B199&lt;'Умови та класичний графік'!$J$14,C199,"")</f>
        <v>50222</v>
      </c>
      <c r="E200" s="26">
        <f>IF(B199&lt;'Умови та класичний графік'!$J$14,C200-1,"")</f>
        <v>50252</v>
      </c>
      <c r="F200" s="37">
        <f>IF(B199&lt;'Умови та класичний графік'!$J$14,E200-D200+1,"")</f>
        <v>31</v>
      </c>
      <c r="G200" s="89">
        <f>IF(B199&lt;'Умови та класичний графік'!$J$14,J200+K200+L200,"")</f>
        <v>103772.83105022824</v>
      </c>
      <c r="H200" s="90"/>
      <c r="I200" s="32">
        <f>IF(B199&lt;'Умови та класичний графік'!$J$14,I199-J200,"")</f>
        <v>3208333.3333333293</v>
      </c>
      <c r="J200" s="32">
        <f>IF(B199&lt;'Умови та класичний графік'!$J$14,J199,"")</f>
        <v>41666.666666666664</v>
      </c>
      <c r="K200" s="32">
        <f>IF(B199&lt;'Умови та класичний графік'!$J$14,((I199*'Умови та класичний графік'!$J$23)/365)*F200,"")</f>
        <v>62106.164383561569</v>
      </c>
      <c r="L200" s="30">
        <f>IF(B199&lt;'Умови та класичний графік'!$J$14,SUM(M200:V200),"")</f>
        <v>0</v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>
        <f>IF(B199&lt;'Умови та класичний графік'!$J$14,XIRR($G$37:G200,$C$37:C200,0),"")</f>
        <v>0.42378673339843764</v>
      </c>
      <c r="X200" s="42"/>
      <c r="Y200" s="35"/>
    </row>
    <row r="201" spans="2:25" x14ac:dyDescent="0.2">
      <c r="B201" s="25">
        <v>164</v>
      </c>
      <c r="C201" s="36">
        <f>IF(B200&lt;'Умови та класичний графік'!$J$14,EDATE(C200,1),"")</f>
        <v>50284</v>
      </c>
      <c r="D201" s="36">
        <f>IF(B200&lt;'Умови та класичний графік'!$J$14,C200,"")</f>
        <v>50253</v>
      </c>
      <c r="E201" s="26">
        <f>IF(B200&lt;'Умови та класичний графік'!$J$14,C201-1,"")</f>
        <v>50283</v>
      </c>
      <c r="F201" s="37">
        <f>IF(B200&lt;'Умови та класичний графік'!$J$14,E201-D201+1,"")</f>
        <v>31</v>
      </c>
      <c r="G201" s="89">
        <f>IF(B200&lt;'Умови та класичний графік'!$J$14,J201+K201+L201,"")</f>
        <v>102976.5981735159</v>
      </c>
      <c r="H201" s="90"/>
      <c r="I201" s="32">
        <f>IF(B200&lt;'Умови та класичний графік'!$J$14,I200-J201,"")</f>
        <v>3166666.6666666628</v>
      </c>
      <c r="J201" s="32">
        <f>IF(B200&lt;'Умови та класичний графік'!$J$14,J200,"")</f>
        <v>41666.666666666664</v>
      </c>
      <c r="K201" s="32">
        <f>IF(B200&lt;'Умови та класичний графік'!$J$14,((I200*'Умови та класичний графік'!$J$23)/365)*F201,"")</f>
        <v>61309.931506849236</v>
      </c>
      <c r="L201" s="30">
        <f>IF(B200&lt;'Умови та класичний графік'!$J$14,SUM(M201:V201),"")</f>
        <v>0</v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>
        <f>IF(B200&lt;'Умови та класичний графік'!$J$14,XIRR($G$37:G201,$C$37:C201,0),"")</f>
        <v>0.42384496582031261</v>
      </c>
      <c r="X201" s="42"/>
      <c r="Y201" s="35"/>
    </row>
    <row r="202" spans="2:25" x14ac:dyDescent="0.2">
      <c r="B202" s="25">
        <v>165</v>
      </c>
      <c r="C202" s="36">
        <f>IF(B201&lt;'Умови та класичний графік'!$J$14,EDATE(C201,1),"")</f>
        <v>50314</v>
      </c>
      <c r="D202" s="36">
        <f>IF(B201&lt;'Умови та класичний графік'!$J$14,C201,"")</f>
        <v>50284</v>
      </c>
      <c r="E202" s="26">
        <f>IF(B201&lt;'Умови та класичний графік'!$J$14,C202-1,"")</f>
        <v>50313</v>
      </c>
      <c r="F202" s="37">
        <f>IF(B201&lt;'Умови та класичний графік'!$J$14,E202-D202+1,"")</f>
        <v>30</v>
      </c>
      <c r="G202" s="89">
        <f>IF(B201&lt;'Умови та класичний графік'!$J$14,J202+K202+L202,"")</f>
        <v>100228.31050228304</v>
      </c>
      <c r="H202" s="90"/>
      <c r="I202" s="32">
        <f>IF(B201&lt;'Умови та класичний графік'!$J$14,I201-J202,"")</f>
        <v>3124999.9999999963</v>
      </c>
      <c r="J202" s="32">
        <f>IF(B201&lt;'Умови та класичний графік'!$J$14,J201,"")</f>
        <v>41666.666666666664</v>
      </c>
      <c r="K202" s="32">
        <f>IF(B201&lt;'Умови та класичний графік'!$J$14,((I201*'Умови та класичний графік'!$J$23)/365)*F202,"")</f>
        <v>58561.643835616371</v>
      </c>
      <c r="L202" s="30">
        <f>IF(B201&lt;'Умови та класичний графік'!$J$14,SUM(M202:V202),"")</f>
        <v>0</v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>
        <f>IF(B201&lt;'Умови та класичний графік'!$J$14,XIRR($G$37:G202,$C$37:C202,0),"")</f>
        <v>0.42389996582031264</v>
      </c>
      <c r="X202" s="42"/>
      <c r="Y202" s="35"/>
    </row>
    <row r="203" spans="2:25" x14ac:dyDescent="0.2">
      <c r="B203" s="25">
        <v>166</v>
      </c>
      <c r="C203" s="36">
        <f>IF(B202&lt;'Умови та класичний графік'!$J$14,EDATE(C202,1),"")</f>
        <v>50345</v>
      </c>
      <c r="D203" s="36">
        <f>IF(B202&lt;'Умови та класичний графік'!$J$14,C202,"")</f>
        <v>50314</v>
      </c>
      <c r="E203" s="26">
        <f>IF(B202&lt;'Умови та класичний графік'!$J$14,C203-1,"")</f>
        <v>50344</v>
      </c>
      <c r="F203" s="37">
        <f>IF(B202&lt;'Умови та класичний графік'!$J$14,E203-D203+1,"")</f>
        <v>31</v>
      </c>
      <c r="G203" s="89">
        <f>IF(B202&lt;'Умови та класичний графік'!$J$14,J203+K203+L203,"")</f>
        <v>101384.13242009125</v>
      </c>
      <c r="H203" s="90"/>
      <c r="I203" s="32">
        <f>IF(B202&lt;'Умови та класичний графік'!$J$14,I202-J203,"")</f>
        <v>3083333.3333333298</v>
      </c>
      <c r="J203" s="32">
        <f>IF(B202&lt;'Умови та класичний графік'!$J$14,J202,"")</f>
        <v>41666.666666666664</v>
      </c>
      <c r="K203" s="32">
        <f>IF(B202&lt;'Умови та класичний графік'!$J$14,((I202*'Умови та класичний графік'!$J$23)/365)*F203,"")</f>
        <v>59717.465753424593</v>
      </c>
      <c r="L203" s="30">
        <f>IF(B202&lt;'Умови та класичний графік'!$J$14,SUM(M203:V203),"")</f>
        <v>0</v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>
        <f>IF(B202&lt;'Умови та класичний графік'!$J$14,XIRR($G$37:G203,$C$37:C203,0),"")</f>
        <v>0.42395391113281256</v>
      </c>
      <c r="X203" s="42"/>
      <c r="Y203" s="35"/>
    </row>
    <row r="204" spans="2:25" x14ac:dyDescent="0.2">
      <c r="B204" s="25">
        <v>167</v>
      </c>
      <c r="C204" s="36">
        <f>IF(B203&lt;'Умови та класичний графік'!$J$14,EDATE(C203,1),"")</f>
        <v>50375</v>
      </c>
      <c r="D204" s="36">
        <f>IF(B203&lt;'Умови та класичний графік'!$J$14,C203,"")</f>
        <v>50345</v>
      </c>
      <c r="E204" s="26">
        <f>IF(B203&lt;'Умови та класичний графік'!$J$14,C204-1,"")</f>
        <v>50374</v>
      </c>
      <c r="F204" s="37">
        <f>IF(B203&lt;'Умови та класичний графік'!$J$14,E204-D204+1,"")</f>
        <v>30</v>
      </c>
      <c r="G204" s="89">
        <f>IF(B203&lt;'Умови та класичний графік'!$J$14,J204+K204+L204,"")</f>
        <v>98687.21461187207</v>
      </c>
      <c r="H204" s="90"/>
      <c r="I204" s="32">
        <f>IF(B203&lt;'Умови та класичний графік'!$J$14,I203-J204,"")</f>
        <v>3041666.6666666633</v>
      </c>
      <c r="J204" s="32">
        <f>IF(B203&lt;'Умови та класичний графік'!$J$14,J203,"")</f>
        <v>41666.666666666664</v>
      </c>
      <c r="K204" s="32">
        <f>IF(B203&lt;'Умови та класичний графік'!$J$14,((I203*'Умови та класичний графік'!$J$23)/365)*F204,"")</f>
        <v>57020.547945205413</v>
      </c>
      <c r="L204" s="30">
        <f>IF(B203&lt;'Умови та класичний графік'!$J$14,SUM(M204:V204),"")</f>
        <v>0</v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>
        <f>IF(B203&lt;'Умови та класичний графік'!$J$14,XIRR($G$37:G204,$C$37:C204,0),"")</f>
        <v>0.42400486816406269</v>
      </c>
      <c r="X204" s="42"/>
      <c r="Y204" s="35"/>
    </row>
    <row r="205" spans="2:25" x14ac:dyDescent="0.2">
      <c r="B205" s="25">
        <v>168</v>
      </c>
      <c r="C205" s="36">
        <f>IF(B204&lt;'Умови та класичний графік'!$J$14,EDATE(C204,1),"")</f>
        <v>50406</v>
      </c>
      <c r="D205" s="36">
        <f>IF(B204&lt;'Умови та класичний графік'!$J$14,C204,"")</f>
        <v>50375</v>
      </c>
      <c r="E205" s="26">
        <f>IF(B204&lt;'Умови та класичний графік'!$J$14,C205-1,"")</f>
        <v>50405</v>
      </c>
      <c r="F205" s="37">
        <f>IF(B204&lt;'Умови та класичний графік'!$J$14,E205-D205+1,"")</f>
        <v>31</v>
      </c>
      <c r="G205" s="89">
        <f>IF(B204&lt;'Умови та класичний графік'!$J$14,J205+K205+L205,"")</f>
        <v>534791.66666666663</v>
      </c>
      <c r="H205" s="90"/>
      <c r="I205" s="32">
        <f>IF(B204&lt;'Умови та класичний графік'!$J$14,I204-J205,"")</f>
        <v>2999999.9999999967</v>
      </c>
      <c r="J205" s="32">
        <f>IF(B204&lt;'Умови та класичний графік'!$J$14,J204,"")</f>
        <v>41666.666666666664</v>
      </c>
      <c r="K205" s="32">
        <f>IF(B204&lt;'Умови та класичний графік'!$J$14,((I204*'Умови та класичний графік'!$J$23)/365)*F205,"")</f>
        <v>58124.999999999942</v>
      </c>
      <c r="L205" s="30">
        <f>IF(B204&lt;'Умови та класичний графік'!$J$14,SUM(M205:V205),"")</f>
        <v>435000</v>
      </c>
      <c r="M205" s="38"/>
      <c r="N205" s="39"/>
      <c r="O205" s="39"/>
      <c r="P205" s="32"/>
      <c r="Q205" s="40"/>
      <c r="R205" s="40"/>
      <c r="S205" s="41"/>
      <c r="T205" s="41"/>
      <c r="U205" s="33">
        <f>IF(B204&lt;'Умови та класичний графік'!$J$14,('Умови та класичний графік'!$J$15*$N$21)+(I205*$N$22),"")</f>
        <v>435000</v>
      </c>
      <c r="V205" s="41"/>
      <c r="W205" s="43">
        <f>IF(B204&lt;'Умови та класичний графік'!$J$14,XIRR($G$37:G205,$C$37:C205,0),"")</f>
        <v>0.4242722216796877</v>
      </c>
      <c r="X205" s="42"/>
      <c r="Y205" s="35"/>
    </row>
    <row r="206" spans="2:25" x14ac:dyDescent="0.2">
      <c r="B206" s="25">
        <v>169</v>
      </c>
      <c r="C206" s="36">
        <f>IF(B205&lt;'Умови та класичний графік'!$J$14,EDATE(C205,1),"")</f>
        <v>50437</v>
      </c>
      <c r="D206" s="36">
        <f>IF(B205&lt;'Умови та класичний графік'!$J$14,C205,"")</f>
        <v>50406</v>
      </c>
      <c r="E206" s="26">
        <f>IF(B205&lt;'Умови та класичний графік'!$J$14,C206-1,"")</f>
        <v>50436</v>
      </c>
      <c r="F206" s="37">
        <f>IF(B205&lt;'Умови та класичний графік'!$J$14,E206-D206+1,"")</f>
        <v>31</v>
      </c>
      <c r="G206" s="89">
        <f>IF(B205&lt;'Умови та класичний графік'!$J$14,J206+K206+L206,"")</f>
        <v>98995.433789954288</v>
      </c>
      <c r="H206" s="90"/>
      <c r="I206" s="32">
        <f>IF(B205&lt;'Умови та класичний графік'!$J$14,I205-J206,"")</f>
        <v>2958333.3333333302</v>
      </c>
      <c r="J206" s="32">
        <f>IF(B205&lt;'Умови та класичний графік'!$J$14,J205,"")</f>
        <v>41666.666666666664</v>
      </c>
      <c r="K206" s="32">
        <f>IF(B205&lt;'Умови та класичний графік'!$J$14,((I205*'Умови та класичний графік'!$J$23)/365)*F206,"")</f>
        <v>57328.767123287616</v>
      </c>
      <c r="L206" s="30">
        <f>IF(B205&lt;'Умови та класичний графік'!$J$14,SUM(M206:V206),"")</f>
        <v>0</v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>
        <f>IF(B205&lt;'Умови та класичний графік'!$J$14,XIRR($G$37:G206,$C$37:C206,0),"")</f>
        <v>0.42432012207031267</v>
      </c>
      <c r="X206" s="42"/>
      <c r="Y206" s="35"/>
    </row>
    <row r="207" spans="2:25" x14ac:dyDescent="0.2">
      <c r="B207" s="25">
        <v>170</v>
      </c>
      <c r="C207" s="36">
        <f>IF(B206&lt;'Умови та класичний графік'!$J$14,EDATE(C206,1),"")</f>
        <v>50465</v>
      </c>
      <c r="D207" s="36">
        <f>IF(B206&lt;'Умови та класичний графік'!$J$14,C206,"")</f>
        <v>50437</v>
      </c>
      <c r="E207" s="26">
        <f>IF(B206&lt;'Умови та класичний графік'!$J$14,C207-1,"")</f>
        <v>50464</v>
      </c>
      <c r="F207" s="37">
        <f>IF(B206&lt;'Умови та класичний графік'!$J$14,E207-D207+1,"")</f>
        <v>28</v>
      </c>
      <c r="G207" s="89">
        <f>IF(B206&lt;'Умови та класичний графік'!$J$14,J207+K207+L207,"")</f>
        <v>92728.310502283042</v>
      </c>
      <c r="H207" s="90"/>
      <c r="I207" s="32">
        <f>IF(B206&lt;'Умови та класичний графік'!$J$14,I206-J207,"")</f>
        <v>2916666.6666666637</v>
      </c>
      <c r="J207" s="32">
        <f>IF(B206&lt;'Умови та класичний графік'!$J$14,J206,"")</f>
        <v>41666.666666666664</v>
      </c>
      <c r="K207" s="32">
        <f>IF(B206&lt;'Умови та класичний графік'!$J$14,((I206*'Умови та класичний графік'!$J$23)/365)*F207,"")</f>
        <v>51061.643835616385</v>
      </c>
      <c r="L207" s="30">
        <f>IF(B206&lt;'Умови та класичний графік'!$J$14,SUM(M207:V207),"")</f>
        <v>0</v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>
        <f>IF(B206&lt;'Умови та класичний графік'!$J$14,XIRR($G$37:G207,$C$37:C207,0),"")</f>
        <v>0.42436376464843761</v>
      </c>
      <c r="X207" s="42"/>
      <c r="Y207" s="35"/>
    </row>
    <row r="208" spans="2:25" x14ac:dyDescent="0.2">
      <c r="B208" s="25">
        <v>171</v>
      </c>
      <c r="C208" s="36">
        <f>IF(B207&lt;'Умови та класичний графік'!$J$14,EDATE(C207,1),"")</f>
        <v>50496</v>
      </c>
      <c r="D208" s="36">
        <f>IF(B207&lt;'Умови та класичний графік'!$J$14,C207,"")</f>
        <v>50465</v>
      </c>
      <c r="E208" s="26">
        <f>IF(B207&lt;'Умови та класичний графік'!$J$14,C208-1,"")</f>
        <v>50495</v>
      </c>
      <c r="F208" s="37">
        <f>IF(B207&lt;'Умови та класичний графік'!$J$14,E208-D208+1,"")</f>
        <v>31</v>
      </c>
      <c r="G208" s="89">
        <f>IF(B207&lt;'Умови та класичний графік'!$J$14,J208+K208+L208,"")</f>
        <v>97402.968036529608</v>
      </c>
      <c r="H208" s="90"/>
      <c r="I208" s="32">
        <f>IF(B207&lt;'Умови та класичний графік'!$J$14,I207-J208,"")</f>
        <v>2874999.9999999972</v>
      </c>
      <c r="J208" s="32">
        <f>IF(B207&lt;'Умови та класичний графік'!$J$14,J207,"")</f>
        <v>41666.666666666664</v>
      </c>
      <c r="K208" s="32">
        <f>IF(B207&lt;'Умови та класичний графік'!$J$14,((I207*'Умови та класичний графік'!$J$23)/365)*F208,"")</f>
        <v>55736.301369862951</v>
      </c>
      <c r="L208" s="30">
        <f>IF(B207&lt;'Умови та класичний графік'!$J$14,SUM(M208:V208),"")</f>
        <v>0</v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>
        <f>IF(B207&lt;'Умови та класичний графік'!$J$14,XIRR($G$37:G208,$C$37:C208,0),"")</f>
        <v>0.42440821777343762</v>
      </c>
      <c r="X208" s="42"/>
      <c r="Y208" s="35"/>
    </row>
    <row r="209" spans="2:25" x14ac:dyDescent="0.2">
      <c r="B209" s="25">
        <v>172</v>
      </c>
      <c r="C209" s="36">
        <f>IF(B208&lt;'Умови та класичний графік'!$J$14,EDATE(C208,1),"")</f>
        <v>50526</v>
      </c>
      <c r="D209" s="36">
        <f>IF(B208&lt;'Умови та класичний графік'!$J$14,C208,"")</f>
        <v>50496</v>
      </c>
      <c r="E209" s="26">
        <f>IF(B208&lt;'Умови та класичний графік'!$J$14,C209-1,"")</f>
        <v>50525</v>
      </c>
      <c r="F209" s="37">
        <f>IF(B208&lt;'Умови та класичний графік'!$J$14,E209-D209+1,"")</f>
        <v>30</v>
      </c>
      <c r="G209" s="89">
        <f>IF(B208&lt;'Умови та класичний графік'!$J$14,J209+K209+L209,"")</f>
        <v>94834.474885844698</v>
      </c>
      <c r="H209" s="90"/>
      <c r="I209" s="32">
        <f>IF(B208&lt;'Умови та класичний графік'!$J$14,I208-J209,"")</f>
        <v>2833333.3333333307</v>
      </c>
      <c r="J209" s="32">
        <f>IF(B208&lt;'Умови та класичний графік'!$J$14,J208,"")</f>
        <v>41666.666666666664</v>
      </c>
      <c r="K209" s="32">
        <f>IF(B208&lt;'Умови та класичний графік'!$J$14,((I208*'Умови та класичний графік'!$J$23)/365)*F209,"")</f>
        <v>53167.808219178034</v>
      </c>
      <c r="L209" s="30">
        <f>IF(B208&lt;'Умови та класичний графік'!$J$14,SUM(M209:V209),"")</f>
        <v>0</v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>
        <f>IF(B208&lt;'Умови та класичний графік'!$J$14,XIRR($G$37:G209,$C$37:C209,0),"")</f>
        <v>0.42445022949218769</v>
      </c>
      <c r="X209" s="42"/>
      <c r="Y209" s="35"/>
    </row>
    <row r="210" spans="2:25" x14ac:dyDescent="0.2">
      <c r="B210" s="25">
        <v>173</v>
      </c>
      <c r="C210" s="36">
        <f>IF(B209&lt;'Умови та класичний графік'!$J$14,EDATE(C209,1),"")</f>
        <v>50557</v>
      </c>
      <c r="D210" s="36">
        <f>IF(B209&lt;'Умови та класичний графік'!$J$14,C209,"")</f>
        <v>50526</v>
      </c>
      <c r="E210" s="26">
        <f>IF(B209&lt;'Умови та класичний графік'!$J$14,C210-1,"")</f>
        <v>50556</v>
      </c>
      <c r="F210" s="37">
        <f>IF(B209&lt;'Умови та класичний графік'!$J$14,E210-D210+1,"")</f>
        <v>31</v>
      </c>
      <c r="G210" s="89">
        <f>IF(B209&lt;'Умови та класичний графік'!$J$14,J210+K210+L210,"")</f>
        <v>95810.502283104972</v>
      </c>
      <c r="H210" s="90"/>
      <c r="I210" s="32">
        <f>IF(B209&lt;'Умови та класичний графік'!$J$14,I209-J210,"")</f>
        <v>2791666.6666666642</v>
      </c>
      <c r="J210" s="32">
        <f>IF(B209&lt;'Умови та класичний графік'!$J$14,J209,"")</f>
        <v>41666.666666666664</v>
      </c>
      <c r="K210" s="32">
        <f>IF(B209&lt;'Умови та класичний графік'!$J$14,((I209*'Умови та класичний графік'!$J$23)/365)*F210,"")</f>
        <v>54143.835616438308</v>
      </c>
      <c r="L210" s="30">
        <f>IF(B209&lt;'Умови та класичний графік'!$J$14,SUM(M210:V210),"")</f>
        <v>0</v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>
        <f>IF(B209&lt;'Умови та класичний графік'!$J$14,XIRR($G$37:G210,$C$37:C210,0),"")</f>
        <v>0.42449139160156268</v>
      </c>
      <c r="X210" s="42"/>
      <c r="Y210" s="35"/>
    </row>
    <row r="211" spans="2:25" x14ac:dyDescent="0.2">
      <c r="B211" s="25">
        <v>174</v>
      </c>
      <c r="C211" s="36">
        <f>IF(B210&lt;'Умови та класичний графік'!$J$14,EDATE(C210,1),"")</f>
        <v>50587</v>
      </c>
      <c r="D211" s="36">
        <f>IF(B210&lt;'Умови та класичний графік'!$J$14,C210,"")</f>
        <v>50557</v>
      </c>
      <c r="E211" s="26">
        <f>IF(B210&lt;'Умови та класичний графік'!$J$14,C211-1,"")</f>
        <v>50586</v>
      </c>
      <c r="F211" s="37">
        <f>IF(B210&lt;'Умови та класичний графік'!$J$14,E211-D211+1,"")</f>
        <v>30</v>
      </c>
      <c r="G211" s="89">
        <f>IF(B210&lt;'Умови та класичний графік'!$J$14,J211+K211+L211,"")</f>
        <v>93293.378995433741</v>
      </c>
      <c r="H211" s="90"/>
      <c r="I211" s="32">
        <f>IF(B210&lt;'Умови та класичний графік'!$J$14,I210-J211,"")</f>
        <v>2749999.9999999977</v>
      </c>
      <c r="J211" s="32">
        <f>IF(B210&lt;'Умови та класичний графік'!$J$14,J210,"")</f>
        <v>41666.666666666664</v>
      </c>
      <c r="K211" s="32">
        <f>IF(B210&lt;'Умови та класичний графік'!$J$14,((I210*'Умови та класичний графік'!$J$23)/365)*F211,"")</f>
        <v>51626.712328767077</v>
      </c>
      <c r="L211" s="30">
        <f>IF(B210&lt;'Умови та класичний графік'!$J$14,SUM(M211:V211),"")</f>
        <v>0</v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>
        <f>IF(B210&lt;'Умови та класичний графік'!$J$14,XIRR($G$37:G211,$C$37:C211,0),"")</f>
        <v>0.42453028808593762</v>
      </c>
      <c r="X211" s="42"/>
      <c r="Y211" s="35"/>
    </row>
    <row r="212" spans="2:25" x14ac:dyDescent="0.2">
      <c r="B212" s="25">
        <v>175</v>
      </c>
      <c r="C212" s="36">
        <f>IF(B211&lt;'Умови та класичний графік'!$J$14,EDATE(C211,1),"")</f>
        <v>50618</v>
      </c>
      <c r="D212" s="36">
        <f>IF(B211&lt;'Умови та класичний графік'!$J$14,C211,"")</f>
        <v>50587</v>
      </c>
      <c r="E212" s="26">
        <f>IF(B211&lt;'Умови та класичний графік'!$J$14,C212-1,"")</f>
        <v>50617</v>
      </c>
      <c r="F212" s="37">
        <f>IF(B211&lt;'Умови та класичний графік'!$J$14,E212-D212+1,"")</f>
        <v>31</v>
      </c>
      <c r="G212" s="89">
        <f>IF(B211&lt;'Умови та класичний графік'!$J$14,J212+K212+L212,"")</f>
        <v>94218.036529680336</v>
      </c>
      <c r="H212" s="90"/>
      <c r="I212" s="32">
        <f>IF(B211&lt;'Умови та класичний графік'!$J$14,I211-J212,"")</f>
        <v>2708333.3333333312</v>
      </c>
      <c r="J212" s="32">
        <f>IF(B211&lt;'Умови та класичний графік'!$J$14,J211,"")</f>
        <v>41666.666666666664</v>
      </c>
      <c r="K212" s="32">
        <f>IF(B211&lt;'Умови та класичний графік'!$J$14,((I211*'Умови та класичний графік'!$J$23)/365)*F212,"")</f>
        <v>52551.369863013664</v>
      </c>
      <c r="L212" s="30">
        <f>IF(B211&lt;'Умови та класичний графік'!$J$14,SUM(M212:V212),"")</f>
        <v>0</v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>
        <f>IF(B211&lt;'Умови та класичний графік'!$J$14,XIRR($G$37:G212,$C$37:C212,0),"")</f>
        <v>0.42456839355468767</v>
      </c>
      <c r="X212" s="42"/>
      <c r="Y212" s="35"/>
    </row>
    <row r="213" spans="2:25" x14ac:dyDescent="0.2">
      <c r="B213" s="25">
        <v>176</v>
      </c>
      <c r="C213" s="36">
        <f>IF(B212&lt;'Умови та класичний графік'!$J$14,EDATE(C212,1),"")</f>
        <v>50649</v>
      </c>
      <c r="D213" s="36">
        <f>IF(B212&lt;'Умови та класичний графік'!$J$14,C212,"")</f>
        <v>50618</v>
      </c>
      <c r="E213" s="26">
        <f>IF(B212&lt;'Умови та класичний графік'!$J$14,C213-1,"")</f>
        <v>50648</v>
      </c>
      <c r="F213" s="37">
        <f>IF(B212&lt;'Умови та класичний графік'!$J$14,E213-D213+1,"")</f>
        <v>31</v>
      </c>
      <c r="G213" s="89">
        <f>IF(B212&lt;'Умови та класичний графік'!$J$14,J213+K213+L213,"")</f>
        <v>93421.803652967996</v>
      </c>
      <c r="H213" s="90"/>
      <c r="I213" s="32">
        <f>IF(B212&lt;'Умови та класичний графік'!$J$14,I212-J213,"")</f>
        <v>2666666.6666666646</v>
      </c>
      <c r="J213" s="32">
        <f>IF(B212&lt;'Умови та класичний графік'!$J$14,J212,"")</f>
        <v>41666.666666666664</v>
      </c>
      <c r="K213" s="32">
        <f>IF(B212&lt;'Умови та класичний графік'!$J$14,((I212*'Умови та класичний графік'!$J$23)/365)*F213,"")</f>
        <v>51755.136986301331</v>
      </c>
      <c r="L213" s="30">
        <f>IF(B212&lt;'Умови та класичний графік'!$J$14,SUM(M213:V213),"")</f>
        <v>0</v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>
        <f>IF(B212&lt;'Умови та класичний графік'!$J$14,XIRR($G$37:G213,$C$37:C213,0),"")</f>
        <v>0.42460503417968765</v>
      </c>
      <c r="X213" s="42"/>
      <c r="Y213" s="35"/>
    </row>
    <row r="214" spans="2:25" x14ac:dyDescent="0.2">
      <c r="B214" s="25">
        <v>177</v>
      </c>
      <c r="C214" s="36">
        <f>IF(B213&lt;'Умови та класичний графік'!$J$14,EDATE(C213,1),"")</f>
        <v>50679</v>
      </c>
      <c r="D214" s="36">
        <f>IF(B213&lt;'Умови та класичний графік'!$J$14,C213,"")</f>
        <v>50649</v>
      </c>
      <c r="E214" s="26">
        <f>IF(B213&lt;'Умови та класичний графік'!$J$14,C214-1,"")</f>
        <v>50678</v>
      </c>
      <c r="F214" s="37">
        <f>IF(B213&lt;'Умови та класичний графік'!$J$14,E214-D214+1,"")</f>
        <v>30</v>
      </c>
      <c r="G214" s="89">
        <f>IF(B213&lt;'Умови та класичний графік'!$J$14,J214+K214+L214,"")</f>
        <v>90981.735159817312</v>
      </c>
      <c r="H214" s="90"/>
      <c r="I214" s="32">
        <f>IF(B213&lt;'Умови та класичний графік'!$J$14,I213-J214,"")</f>
        <v>2624999.9999999981</v>
      </c>
      <c r="J214" s="32">
        <f>IF(B213&lt;'Умови та класичний графік'!$J$14,J213,"")</f>
        <v>41666.666666666664</v>
      </c>
      <c r="K214" s="32">
        <f>IF(B213&lt;'Умови та класичний графік'!$J$14,((I213*'Умови та класичний графік'!$J$23)/365)*F214,"")</f>
        <v>49315.068493150648</v>
      </c>
      <c r="L214" s="30">
        <f>IF(B213&lt;'Умови та класичний графік'!$J$14,SUM(M214:V214),"")</f>
        <v>0</v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>
        <f>IF(B213&lt;'Умови та класичний графік'!$J$14,XIRR($G$37:G214,$C$37:C214,0),"")</f>
        <v>0.42463967285156268</v>
      </c>
      <c r="X214" s="42"/>
      <c r="Y214" s="35"/>
    </row>
    <row r="215" spans="2:25" x14ac:dyDescent="0.2">
      <c r="B215" s="25">
        <v>178</v>
      </c>
      <c r="C215" s="36">
        <f>IF(B214&lt;'Умови та класичний графік'!$J$14,EDATE(C214,1),"")</f>
        <v>50710</v>
      </c>
      <c r="D215" s="36">
        <f>IF(B214&lt;'Умови та класичний графік'!$J$14,C214,"")</f>
        <v>50679</v>
      </c>
      <c r="E215" s="26">
        <f>IF(B214&lt;'Умови та класичний графік'!$J$14,C215-1,"")</f>
        <v>50709</v>
      </c>
      <c r="F215" s="37">
        <f>IF(B214&lt;'Умови та класичний графік'!$J$14,E215-D215+1,"")</f>
        <v>31</v>
      </c>
      <c r="G215" s="89">
        <f>IF(B214&lt;'Умови та класичний графік'!$J$14,J215+K215+L215,"")</f>
        <v>91829.337899543345</v>
      </c>
      <c r="H215" s="90"/>
      <c r="I215" s="32">
        <f>IF(B214&lt;'Умови та класичний графік'!$J$14,I214-J215,"")</f>
        <v>2583333.3333333316</v>
      </c>
      <c r="J215" s="32">
        <f>IF(B214&lt;'Умови та класичний графік'!$J$14,J214,"")</f>
        <v>41666.666666666664</v>
      </c>
      <c r="K215" s="32">
        <f>IF(B214&lt;'Умови та класичний графік'!$J$14,((I214*'Умови та класичний графік'!$J$23)/365)*F215,"")</f>
        <v>50162.671232876681</v>
      </c>
      <c r="L215" s="30">
        <f>IF(B214&lt;'Умови та класичний графік'!$J$14,SUM(M215:V215),"")</f>
        <v>0</v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>
        <f>IF(B214&lt;'Умови та класичний графік'!$J$14,XIRR($G$37:G215,$C$37:C215,0),"")</f>
        <v>0.42467357910156267</v>
      </c>
      <c r="X215" s="42"/>
      <c r="Y215" s="35"/>
    </row>
    <row r="216" spans="2:25" x14ac:dyDescent="0.2">
      <c r="B216" s="25">
        <v>179</v>
      </c>
      <c r="C216" s="36">
        <f>IF(B215&lt;'Умови та класичний графік'!$J$14,EDATE(C215,1),"")</f>
        <v>50740</v>
      </c>
      <c r="D216" s="36">
        <f>IF(B215&lt;'Умови та класичний графік'!$J$14,C215,"")</f>
        <v>50710</v>
      </c>
      <c r="E216" s="26">
        <f>IF(B215&lt;'Умови та класичний графік'!$J$14,C216-1,"")</f>
        <v>50739</v>
      </c>
      <c r="F216" s="37">
        <f>IF(B215&lt;'Умови та класичний графік'!$J$14,E216-D216+1,"")</f>
        <v>30</v>
      </c>
      <c r="G216" s="89">
        <f>IF(B215&lt;'Умови та класичний графік'!$J$14,J216+K216+L216,"")</f>
        <v>89440.639269406354</v>
      </c>
      <c r="H216" s="90"/>
      <c r="I216" s="32">
        <f>IF(B215&lt;'Умови та класичний графік'!$J$14,I215-J216,"")</f>
        <v>2541666.6666666651</v>
      </c>
      <c r="J216" s="32">
        <f>IF(B215&lt;'Умови та класичний графік'!$J$14,J215,"")</f>
        <v>41666.666666666664</v>
      </c>
      <c r="K216" s="32">
        <f>IF(B215&lt;'Умови та класичний графік'!$J$14,((I215*'Умови та класичний графік'!$J$23)/365)*F216,"")</f>
        <v>47773.972602739697</v>
      </c>
      <c r="L216" s="30">
        <f>IF(B215&lt;'Умови та класичний графік'!$J$14,SUM(M216:V216),"")</f>
        <v>0</v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>
        <f>IF(B215&lt;'Умови та класичний графік'!$J$14,XIRR($G$37:G216,$C$37:C216,0),"")</f>
        <v>0.42470563964843755</v>
      </c>
      <c r="X216" s="42"/>
      <c r="Y216" s="35"/>
    </row>
    <row r="217" spans="2:25" x14ac:dyDescent="0.2">
      <c r="B217" s="25">
        <v>180</v>
      </c>
      <c r="C217" s="36">
        <f>IF(B216&lt;'Умови та класичний графік'!$J$14,EDATE(C216,1),"")</f>
        <v>50771</v>
      </c>
      <c r="D217" s="36">
        <f>IF(B216&lt;'Умови та класичний графік'!$J$14,C216,"")</f>
        <v>50740</v>
      </c>
      <c r="E217" s="26">
        <f>IF(B216&lt;'Умови та класичний графік'!$J$14,C217-1,"")</f>
        <v>50770</v>
      </c>
      <c r="F217" s="37">
        <f>IF(B216&lt;'Умови та класичний графік'!$J$14,E217-D217+1,"")</f>
        <v>31</v>
      </c>
      <c r="G217" s="89">
        <f>IF(B216&lt;'Умови та класичний графік'!$J$14,J217+K217+L217,"")</f>
        <v>523736.87214611867</v>
      </c>
      <c r="H217" s="90"/>
      <c r="I217" s="32">
        <f>IF(B216&lt;'Умови та класичний графік'!$J$14,I216-J217,"")</f>
        <v>2499999.9999999986</v>
      </c>
      <c r="J217" s="32">
        <f>IF(B216&lt;'Умови та класичний графік'!$J$14,J216,"")</f>
        <v>41666.666666666664</v>
      </c>
      <c r="K217" s="32">
        <f>IF(B216&lt;'Умови та класичний графік'!$J$14,((I216*'Умови та класичний графік'!$J$23)/365)*F217,"")</f>
        <v>48570.20547945203</v>
      </c>
      <c r="L217" s="30">
        <f>IF(B216&lt;'Умови та класичний графік'!$J$14,SUM(M217:V217),"")</f>
        <v>433500</v>
      </c>
      <c r="M217" s="38"/>
      <c r="N217" s="39"/>
      <c r="O217" s="39"/>
      <c r="P217" s="32"/>
      <c r="Q217" s="40"/>
      <c r="R217" s="40"/>
      <c r="S217" s="41"/>
      <c r="T217" s="41"/>
      <c r="U217" s="33">
        <f>IF(B216&lt;'Умови та класичний графік'!$J$14,('Умови та класичний графік'!$J$15*$N$21)+(I217*$N$22),"")</f>
        <v>433500</v>
      </c>
      <c r="V217" s="41"/>
      <c r="W217" s="43">
        <f>IF(B216&lt;'Умови та класичний графік'!$J$14,XIRR($G$37:G217,$C$37:C217,0),"")</f>
        <v>0.42488748535156273</v>
      </c>
      <c r="X217" s="42"/>
      <c r="Y217" s="35"/>
    </row>
    <row r="218" spans="2:25" x14ac:dyDescent="0.2">
      <c r="B218" s="25">
        <v>181</v>
      </c>
      <c r="C218" s="36">
        <f>IF(B217&lt;'Умови та класичний графік'!$J$14,EDATE(C217,1),"")</f>
        <v>50802</v>
      </c>
      <c r="D218" s="36">
        <f>IF(B217&lt;'Умови та класичний графік'!$J$14,C217,"")</f>
        <v>50771</v>
      </c>
      <c r="E218" s="26">
        <f>IF(B217&lt;'Умови та класичний графік'!$J$14,C218-1,"")</f>
        <v>50801</v>
      </c>
      <c r="F218" s="37">
        <f>IF(B217&lt;'Умови та класичний графік'!$J$14,E218-D218+1,"")</f>
        <v>31</v>
      </c>
      <c r="G218" s="89">
        <f>IF(B217&lt;'Умови та класичний графік'!$J$14,J218+K218+L218,"")</f>
        <v>89440.639269406354</v>
      </c>
      <c r="H218" s="90"/>
      <c r="I218" s="32">
        <f>IF(B217&lt;'Умови та класичний графік'!$J$14,I217-J218,"")</f>
        <v>2458333.3333333321</v>
      </c>
      <c r="J218" s="32">
        <f>IF(B217&lt;'Умови та класичний графік'!$J$14,J217,"")</f>
        <v>41666.666666666664</v>
      </c>
      <c r="K218" s="32">
        <f>IF(B217&lt;'Умови та класичний графік'!$J$14,((I217*'Умови та класичний графік'!$J$23)/365)*F218,"")</f>
        <v>47773.972602739697</v>
      </c>
      <c r="L218" s="30">
        <f>IF(B217&lt;'Умови та класичний графік'!$J$14,SUM(M218:V218),"")</f>
        <v>0</v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>
        <f>IF(B217&lt;'Умови та класичний графік'!$J$14,XIRR($G$37:G218,$C$37:C218,0),"")</f>
        <v>0.42491756347656273</v>
      </c>
      <c r="X218" s="42"/>
      <c r="Y218" s="35"/>
    </row>
    <row r="219" spans="2:25" x14ac:dyDescent="0.2">
      <c r="B219" s="25">
        <v>182</v>
      </c>
      <c r="C219" s="36">
        <f>IF(B218&lt;'Умови та класичний графік'!$J$14,EDATE(C218,1),"")</f>
        <v>50830</v>
      </c>
      <c r="D219" s="36">
        <f>IF(B218&lt;'Умови та класичний графік'!$J$14,C218,"")</f>
        <v>50802</v>
      </c>
      <c r="E219" s="26">
        <f>IF(B218&lt;'Умови та класичний графік'!$J$14,C219-1,"")</f>
        <v>50829</v>
      </c>
      <c r="F219" s="37">
        <f>IF(B218&lt;'Умови та класичний графік'!$J$14,E219-D219+1,"")</f>
        <v>28</v>
      </c>
      <c r="G219" s="89">
        <f>IF(B218&lt;'Умови та класичний графік'!$J$14,J219+K219+L219,"")</f>
        <v>84098.173515981704</v>
      </c>
      <c r="H219" s="90"/>
      <c r="I219" s="32">
        <f>IF(B218&lt;'Умови та класичний графік'!$J$14,I218-J219,"")</f>
        <v>2416666.6666666656</v>
      </c>
      <c r="J219" s="32">
        <f>IF(B218&lt;'Умови та класичний графік'!$J$14,J218,"")</f>
        <v>41666.666666666664</v>
      </c>
      <c r="K219" s="32">
        <f>IF(B218&lt;'Умови та класичний графік'!$J$14,((I218*'Умови та класичний графік'!$J$23)/365)*F219,"")</f>
        <v>42431.506849315047</v>
      </c>
      <c r="L219" s="30">
        <f>IF(B218&lt;'Умови та класичний графік'!$J$14,SUM(M219:V219),"")</f>
        <v>0</v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>
        <f>IF(B218&lt;'Умови та класичний графік'!$J$14,XIRR($G$37:G219,$C$37:C219,0),"")</f>
        <v>0.42494507324218767</v>
      </c>
      <c r="X219" s="42"/>
      <c r="Y219" s="35"/>
    </row>
    <row r="220" spans="2:25" x14ac:dyDescent="0.2">
      <c r="B220" s="25">
        <v>183</v>
      </c>
      <c r="C220" s="36">
        <f>IF(B219&lt;'Умови та класичний графік'!$J$14,EDATE(C219,1),"")</f>
        <v>50861</v>
      </c>
      <c r="D220" s="36">
        <f>IF(B219&lt;'Умови та класичний графік'!$J$14,C219,"")</f>
        <v>50830</v>
      </c>
      <c r="E220" s="26">
        <f>IF(B219&lt;'Умови та класичний графік'!$J$14,C220-1,"")</f>
        <v>50860</v>
      </c>
      <c r="F220" s="37">
        <f>IF(B219&lt;'Умови та класичний графік'!$J$14,E220-D220+1,"")</f>
        <v>31</v>
      </c>
      <c r="G220" s="89">
        <f>IF(B219&lt;'Умови та класичний графік'!$J$14,J220+K220+L220,"")</f>
        <v>87848.173515981718</v>
      </c>
      <c r="H220" s="90"/>
      <c r="I220" s="32">
        <f>IF(B219&lt;'Умови та класичний графік'!$J$14,I219-J220,"")</f>
        <v>2374999.9999999991</v>
      </c>
      <c r="J220" s="32">
        <f>IF(B219&lt;'Умови та класичний графік'!$J$14,J219,"")</f>
        <v>41666.666666666664</v>
      </c>
      <c r="K220" s="32">
        <f>IF(B219&lt;'Умови та класичний графік'!$J$14,((I219*'Умови та класичний графік'!$J$23)/365)*F220,"")</f>
        <v>46181.506849315054</v>
      </c>
      <c r="L220" s="30">
        <f>IF(B219&lt;'Умови та класичний графік'!$J$14,SUM(M220:V220),"")</f>
        <v>0</v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>
        <f>IF(B219&lt;'Умови та класичний графік'!$J$14,XIRR($G$37:G220,$C$37:C220,0),"")</f>
        <v>0.42497294433593757</v>
      </c>
      <c r="X220" s="42"/>
      <c r="Y220" s="35"/>
    </row>
    <row r="221" spans="2:25" x14ac:dyDescent="0.2">
      <c r="B221" s="25">
        <v>184</v>
      </c>
      <c r="C221" s="36">
        <f>IF(B220&lt;'Умови та класичний графік'!$J$14,EDATE(C220,1),"")</f>
        <v>50891</v>
      </c>
      <c r="D221" s="36">
        <f>IF(B220&lt;'Умови та класичний графік'!$J$14,C220,"")</f>
        <v>50861</v>
      </c>
      <c r="E221" s="26">
        <f>IF(B220&lt;'Умови та класичний графік'!$J$14,C221-1,"")</f>
        <v>50890</v>
      </c>
      <c r="F221" s="37">
        <f>IF(B220&lt;'Умови та класичний графік'!$J$14,E221-D221+1,"")</f>
        <v>30</v>
      </c>
      <c r="G221" s="89">
        <f>IF(B220&lt;'Умови та класичний графік'!$J$14,J221+K221+L221,"")</f>
        <v>85587.899543378968</v>
      </c>
      <c r="H221" s="90"/>
      <c r="I221" s="32">
        <f>IF(B220&lt;'Умови та класичний графік'!$J$14,I220-J221,"")</f>
        <v>2333333.3333333326</v>
      </c>
      <c r="J221" s="32">
        <f>IF(B220&lt;'Умови та класичний графік'!$J$14,J220,"")</f>
        <v>41666.666666666664</v>
      </c>
      <c r="K221" s="32">
        <f>IF(B220&lt;'Умови та класичний графік'!$J$14,((I220*'Умови та класичний графік'!$J$23)/365)*F221,"")</f>
        <v>43921.232876712311</v>
      </c>
      <c r="L221" s="30">
        <f>IF(B220&lt;'Умови та класичний графік'!$J$14,SUM(M221:V221),"")</f>
        <v>0</v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>
        <f>IF(B220&lt;'Умови та класичний графік'!$J$14,XIRR($G$37:G221,$C$37:C221,0),"")</f>
        <v>0.42499931152343751</v>
      </c>
      <c r="X221" s="42"/>
      <c r="Y221" s="35"/>
    </row>
    <row r="222" spans="2:25" x14ac:dyDescent="0.2">
      <c r="B222" s="25">
        <v>185</v>
      </c>
      <c r="C222" s="36">
        <f>IF(B221&lt;'Умови та класичний графік'!$J$14,EDATE(C221,1),"")</f>
        <v>50922</v>
      </c>
      <c r="D222" s="36">
        <f>IF(B221&lt;'Умови та класичний графік'!$J$14,C221,"")</f>
        <v>50891</v>
      </c>
      <c r="E222" s="26">
        <f>IF(B221&lt;'Умови та класичний графік'!$J$14,C222-1,"")</f>
        <v>50921</v>
      </c>
      <c r="F222" s="37">
        <f>IF(B221&lt;'Умови та класичний графік'!$J$14,E222-D222+1,"")</f>
        <v>31</v>
      </c>
      <c r="G222" s="89">
        <f>IF(B221&lt;'Умови та класичний графік'!$J$14,J222+K222+L222,"")</f>
        <v>86255.707762557053</v>
      </c>
      <c r="H222" s="90"/>
      <c r="I222" s="32">
        <f>IF(B221&lt;'Умови та класичний графік'!$J$14,I221-J222,"")</f>
        <v>2291666.666666666</v>
      </c>
      <c r="J222" s="32">
        <f>IF(B221&lt;'Умови та класичний графік'!$J$14,J221,"")</f>
        <v>41666.666666666664</v>
      </c>
      <c r="K222" s="32">
        <f>IF(B221&lt;'Умови та класичний графік'!$J$14,((I221*'Умови та класичний графік'!$J$23)/365)*F222,"")</f>
        <v>44589.041095890396</v>
      </c>
      <c r="L222" s="30">
        <f>IF(B221&lt;'Умови та класичний графік'!$J$14,SUM(M222:V222),"")</f>
        <v>0</v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>
        <f>IF(B221&lt;'Умови та класичний графік'!$J$14,XIRR($G$37:G222,$C$37:C222,0),"")</f>
        <v>0.42502508300781261</v>
      </c>
      <c r="X222" s="42"/>
      <c r="Y222" s="35"/>
    </row>
    <row r="223" spans="2:25" x14ac:dyDescent="0.2">
      <c r="B223" s="25">
        <v>186</v>
      </c>
      <c r="C223" s="36">
        <f>IF(B222&lt;'Умови та класичний графік'!$J$14,EDATE(C222,1),"")</f>
        <v>50952</v>
      </c>
      <c r="D223" s="36">
        <f>IF(B222&lt;'Умови та класичний графік'!$J$14,C222,"")</f>
        <v>50922</v>
      </c>
      <c r="E223" s="26">
        <f>IF(B222&lt;'Умови та класичний графік'!$J$14,C223-1,"")</f>
        <v>50951</v>
      </c>
      <c r="F223" s="37">
        <f>IF(B222&lt;'Умови та класичний графік'!$J$14,E223-D223+1,"")</f>
        <v>30</v>
      </c>
      <c r="G223" s="89">
        <f>IF(B222&lt;'Умови та класичний графік'!$J$14,J223+K223+L223,"")</f>
        <v>84046.803652968025</v>
      </c>
      <c r="H223" s="90"/>
      <c r="I223" s="32">
        <f>IF(B222&lt;'Умови та класичний графік'!$J$14,I222-J223,"")</f>
        <v>2249999.9999999995</v>
      </c>
      <c r="J223" s="32">
        <f>IF(B222&lt;'Умови та класичний графік'!$J$14,J222,"")</f>
        <v>41666.666666666664</v>
      </c>
      <c r="K223" s="32">
        <f>IF(B222&lt;'Умови та класичний графік'!$J$14,((I222*'Умови та класичний графік'!$J$23)/365)*F223,"")</f>
        <v>42380.136986301361</v>
      </c>
      <c r="L223" s="30">
        <f>IF(B222&lt;'Умови та класичний графік'!$J$14,SUM(M223:V223),"")</f>
        <v>0</v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>
        <f>IF(B222&lt;'Умови та класичний графік'!$J$14,XIRR($G$37:G223,$C$37:C223,0),"")</f>
        <v>0.42504945800781258</v>
      </c>
      <c r="X223" s="42"/>
      <c r="Y223" s="35"/>
    </row>
    <row r="224" spans="2:25" x14ac:dyDescent="0.2">
      <c r="B224" s="25">
        <v>187</v>
      </c>
      <c r="C224" s="36">
        <f>IF(B223&lt;'Умови та класичний графік'!$J$14,EDATE(C223,1),"")</f>
        <v>50983</v>
      </c>
      <c r="D224" s="36">
        <f>IF(B223&lt;'Умови та класичний графік'!$J$14,C223,"")</f>
        <v>50952</v>
      </c>
      <c r="E224" s="26">
        <f>IF(B223&lt;'Умови та класичний графік'!$J$14,C224-1,"")</f>
        <v>50982</v>
      </c>
      <c r="F224" s="37">
        <f>IF(B223&lt;'Умови та класичний графік'!$J$14,E224-D224+1,"")</f>
        <v>31</v>
      </c>
      <c r="G224" s="89">
        <f>IF(B223&lt;'Умови та класичний графік'!$J$14,J224+K224+L224,"")</f>
        <v>84663.242009132402</v>
      </c>
      <c r="H224" s="90"/>
      <c r="I224" s="32">
        <f>IF(B223&lt;'Умови та класичний графік'!$J$14,I223-J224,"")</f>
        <v>2208333.333333333</v>
      </c>
      <c r="J224" s="32">
        <f>IF(B223&lt;'Умови та класичний графік'!$J$14,J223,"")</f>
        <v>41666.666666666664</v>
      </c>
      <c r="K224" s="32">
        <f>IF(B223&lt;'Умови та класичний графік'!$J$14,((I223*'Умови та класичний графік'!$J$23)/365)*F224,"")</f>
        <v>42996.575342465745</v>
      </c>
      <c r="L224" s="30">
        <f>IF(B223&lt;'Умови та класичний графік'!$J$14,SUM(M224:V224),"")</f>
        <v>0</v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>
        <f>IF(B223&lt;'Умови та класичний графік'!$J$14,XIRR($G$37:G224,$C$37:C224,0),"")</f>
        <v>0.42507328613281259</v>
      </c>
      <c r="X224" s="42"/>
      <c r="Y224" s="35"/>
    </row>
    <row r="225" spans="2:25" x14ac:dyDescent="0.2">
      <c r="B225" s="25">
        <v>188</v>
      </c>
      <c r="C225" s="36">
        <f>IF(B224&lt;'Умови та класичний графік'!$J$14,EDATE(C224,1),"")</f>
        <v>51014</v>
      </c>
      <c r="D225" s="36">
        <f>IF(B224&lt;'Умови та класичний графік'!$J$14,C224,"")</f>
        <v>50983</v>
      </c>
      <c r="E225" s="26">
        <f>IF(B224&lt;'Умови та класичний графік'!$J$14,C225-1,"")</f>
        <v>51013</v>
      </c>
      <c r="F225" s="37">
        <f>IF(B224&lt;'Умови та класичний графік'!$J$14,E225-D225+1,"")</f>
        <v>31</v>
      </c>
      <c r="G225" s="89">
        <f>IF(B224&lt;'Умови та класичний графік'!$J$14,J225+K225+L225,"")</f>
        <v>83867.009132420091</v>
      </c>
      <c r="H225" s="90"/>
      <c r="I225" s="32">
        <f>IF(B224&lt;'Умови та класичний графік'!$J$14,I224-J225,"")</f>
        <v>2166666.6666666665</v>
      </c>
      <c r="J225" s="32">
        <f>IF(B224&lt;'Умови та класичний графік'!$J$14,J224,"")</f>
        <v>41666.666666666664</v>
      </c>
      <c r="K225" s="32">
        <f>IF(B224&lt;'Умови та класичний графік'!$J$14,((I224*'Умови та класичний графік'!$J$23)/365)*F225,"")</f>
        <v>42200.34246575342</v>
      </c>
      <c r="L225" s="30">
        <f>IF(B224&lt;'Умови та класичний графік'!$J$14,SUM(M225:V225),"")</f>
        <v>0</v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>
        <f>IF(B224&lt;'Умови та класичний графік'!$J$14,XIRR($G$37:G225,$C$37:C225,0),"")</f>
        <v>0.42509616699218766</v>
      </c>
      <c r="X225" s="42"/>
      <c r="Y225" s="35"/>
    </row>
    <row r="226" spans="2:25" x14ac:dyDescent="0.2">
      <c r="B226" s="25">
        <v>189</v>
      </c>
      <c r="C226" s="36">
        <f>IF(B225&lt;'Умови та класичний графік'!$J$14,EDATE(C225,1),"")</f>
        <v>51044</v>
      </c>
      <c r="D226" s="36">
        <f>IF(B225&lt;'Умови та класичний графік'!$J$14,C225,"")</f>
        <v>51014</v>
      </c>
      <c r="E226" s="26">
        <f>IF(B225&lt;'Умови та класичний графік'!$J$14,C226-1,"")</f>
        <v>51043</v>
      </c>
      <c r="F226" s="37">
        <f>IF(B225&lt;'Умови та класичний графік'!$J$14,E226-D226+1,"")</f>
        <v>30</v>
      </c>
      <c r="G226" s="89">
        <f>IF(B225&lt;'Умови та класичний графік'!$J$14,J226+K226+L226,"")</f>
        <v>81735.159817351596</v>
      </c>
      <c r="H226" s="90"/>
      <c r="I226" s="32">
        <f>IF(B225&lt;'Умови та класичний графік'!$J$14,I225-J226,"")</f>
        <v>2125000</v>
      </c>
      <c r="J226" s="32">
        <f>IF(B225&lt;'Умови та класичний графік'!$J$14,J225,"")</f>
        <v>41666.666666666664</v>
      </c>
      <c r="K226" s="32">
        <f>IF(B225&lt;'Умови та класичний графік'!$J$14,((I225*'Умови та класичний графік'!$J$23)/365)*F226,"")</f>
        <v>40068.493150684932</v>
      </c>
      <c r="L226" s="30">
        <f>IF(B225&lt;'Умови та класичний графік'!$J$14,SUM(M226:V226),"")</f>
        <v>0</v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>
        <f>IF(B225&lt;'Умови та класичний графік'!$J$14,XIRR($G$37:G226,$C$37:C226,0),"")</f>
        <v>0.4251178271484376</v>
      </c>
      <c r="X226" s="42"/>
      <c r="Y226" s="35"/>
    </row>
    <row r="227" spans="2:25" x14ac:dyDescent="0.2">
      <c r="B227" s="25">
        <v>190</v>
      </c>
      <c r="C227" s="36">
        <f>IF(B226&lt;'Умови та класичний графік'!$J$14,EDATE(C226,1),"")</f>
        <v>51075</v>
      </c>
      <c r="D227" s="36">
        <f>IF(B226&lt;'Умови та класичний графік'!$J$14,C226,"")</f>
        <v>51044</v>
      </c>
      <c r="E227" s="26">
        <f>IF(B226&lt;'Умови та класичний графік'!$J$14,C227-1,"")</f>
        <v>51074</v>
      </c>
      <c r="F227" s="37">
        <f>IF(B226&lt;'Умови та класичний графік'!$J$14,E227-D227+1,"")</f>
        <v>31</v>
      </c>
      <c r="G227" s="89">
        <f>IF(B226&lt;'Умови та класичний графік'!$J$14,J227+K227+L227,"")</f>
        <v>82274.54337899544</v>
      </c>
      <c r="H227" s="90"/>
      <c r="I227" s="32">
        <f>IF(B226&lt;'Умови та класичний графік'!$J$14,I226-J227,"")</f>
        <v>2083333.3333333333</v>
      </c>
      <c r="J227" s="32">
        <f>IF(B226&lt;'Умови та класичний графік'!$J$14,J226,"")</f>
        <v>41666.666666666664</v>
      </c>
      <c r="K227" s="32">
        <f>IF(B226&lt;'Умови та класичний графік'!$J$14,((I226*'Умови та класичний графік'!$J$23)/365)*F227,"")</f>
        <v>40607.876712328769</v>
      </c>
      <c r="L227" s="30">
        <f>IF(B226&lt;'Умови та класичний графік'!$J$14,SUM(M227:V227),"")</f>
        <v>0</v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>
        <f>IF(B226&lt;'Умови та класичний графік'!$J$14,XIRR($G$37:G227,$C$37:C227,0),"")</f>
        <v>0.42513896972656262</v>
      </c>
      <c r="X227" s="42"/>
      <c r="Y227" s="35"/>
    </row>
    <row r="228" spans="2:25" x14ac:dyDescent="0.2">
      <c r="B228" s="25">
        <v>191</v>
      </c>
      <c r="C228" s="36">
        <f>IF(B227&lt;'Умови та класичний графік'!$J$14,EDATE(C227,1),"")</f>
        <v>51105</v>
      </c>
      <c r="D228" s="36">
        <f>IF(B227&lt;'Умови та класичний графік'!$J$14,C227,"")</f>
        <v>51075</v>
      </c>
      <c r="E228" s="26">
        <f>IF(B227&lt;'Умови та класичний графік'!$J$14,C228-1,"")</f>
        <v>51104</v>
      </c>
      <c r="F228" s="37">
        <f>IF(B227&lt;'Умови та класичний графік'!$J$14,E228-D228+1,"")</f>
        <v>30</v>
      </c>
      <c r="G228" s="89">
        <f>IF(B227&lt;'Умови та класичний графік'!$J$14,J228+K228+L228,"")</f>
        <v>80194.063926940638</v>
      </c>
      <c r="H228" s="90"/>
      <c r="I228" s="32">
        <f>IF(B227&lt;'Умови та класичний графік'!$J$14,I227-J228,"")</f>
        <v>2041666.6666666665</v>
      </c>
      <c r="J228" s="32">
        <f>IF(B227&lt;'Умови та класичний графік'!$J$14,J227,"")</f>
        <v>41666.666666666664</v>
      </c>
      <c r="K228" s="32">
        <f>IF(B227&lt;'Умови та класичний графік'!$J$14,((I227*'Умови та класичний графік'!$J$23)/365)*F228,"")</f>
        <v>38527.397260273974</v>
      </c>
      <c r="L228" s="30">
        <f>IF(B227&lt;'Умови та класичний графік'!$J$14,SUM(M228:V228),"")</f>
        <v>0</v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>
        <f>IF(B227&lt;'Умови та класичний графік'!$J$14,XIRR($G$37:G228,$C$37:C228,0),"")</f>
        <v>0.42515898925781259</v>
      </c>
      <c r="X228" s="42"/>
      <c r="Y228" s="35"/>
    </row>
    <row r="229" spans="2:25" x14ac:dyDescent="0.2">
      <c r="B229" s="25">
        <v>192</v>
      </c>
      <c r="C229" s="36">
        <f>IF(B228&lt;'Умови та класичний графік'!$J$14,EDATE(C228,1),"")</f>
        <v>51136</v>
      </c>
      <c r="D229" s="36">
        <f>IF(B228&lt;'Умови та класичний графік'!$J$14,C228,"")</f>
        <v>51105</v>
      </c>
      <c r="E229" s="26">
        <f>IF(B228&lt;'Умови та класичний графік'!$J$14,C229-1,"")</f>
        <v>51135</v>
      </c>
      <c r="F229" s="37">
        <f>IF(B228&lt;'Умови та класичний графік'!$J$14,E229-D229+1,"")</f>
        <v>31</v>
      </c>
      <c r="G229" s="89">
        <f>IF(B228&lt;'Умови та класичний графік'!$J$14,J229+K229+L229,"")</f>
        <v>512682.07762557076</v>
      </c>
      <c r="H229" s="90"/>
      <c r="I229" s="32">
        <f>IF(B228&lt;'Умови та класичний графік'!$J$14,I228-J229,"")</f>
        <v>1999999.9999999998</v>
      </c>
      <c r="J229" s="32">
        <f>IF(B228&lt;'Умови та класичний графік'!$J$14,J228,"")</f>
        <v>41666.666666666664</v>
      </c>
      <c r="K229" s="32">
        <f>IF(B228&lt;'Умови та класичний графік'!$J$14,((I228*'Умови та класичний графік'!$J$23)/365)*F229,"")</f>
        <v>39015.410958904111</v>
      </c>
      <c r="L229" s="30">
        <f>IF(B228&lt;'Умови та класичний графік'!$J$14,SUM(M229:V229),"")</f>
        <v>432000</v>
      </c>
      <c r="M229" s="38"/>
      <c r="N229" s="39"/>
      <c r="O229" s="39"/>
      <c r="P229" s="32"/>
      <c r="Q229" s="40"/>
      <c r="R229" s="40"/>
      <c r="S229" s="41"/>
      <c r="T229" s="41"/>
      <c r="U229" s="33">
        <f>IF(B228&lt;'Умови та класичний графік'!$J$14,('Умови та класичний графік'!$J$15*$N$21)+(I229*$N$22),"")</f>
        <v>432000</v>
      </c>
      <c r="V229" s="41"/>
      <c r="W229" s="43">
        <f>IF(B228&lt;'Умови та класичний графік'!$J$14,XIRR($G$37:G229,$C$37:C229,0),"")</f>
        <v>0.42528296386718756</v>
      </c>
      <c r="X229" s="42"/>
      <c r="Y229" s="35"/>
    </row>
    <row r="230" spans="2:25" x14ac:dyDescent="0.2">
      <c r="B230" s="25">
        <v>193</v>
      </c>
      <c r="C230" s="36">
        <f>IF(B229&lt;'Умови та класичний графік'!$J$14,EDATE(C229,1),"")</f>
        <v>51167</v>
      </c>
      <c r="D230" s="36">
        <f>IF(B229&lt;'Умови та класичний графік'!$J$14,C229,"")</f>
        <v>51136</v>
      </c>
      <c r="E230" s="26">
        <f>IF(B229&lt;'Умови та класичний графік'!$J$14,C230-1,"")</f>
        <v>51166</v>
      </c>
      <c r="F230" s="37">
        <f>IF(B229&lt;'Умови та класичний графік'!$J$14,E230-D230+1,"")</f>
        <v>31</v>
      </c>
      <c r="G230" s="89">
        <f>IF(B229&lt;'Умови та класичний графік'!$J$14,J230+K230+L230,"")</f>
        <v>79885.844748858435</v>
      </c>
      <c r="H230" s="90"/>
      <c r="I230" s="32">
        <f>IF(B229&lt;'Умови та класичний графік'!$J$14,I229-J230,"")</f>
        <v>1958333.333333333</v>
      </c>
      <c r="J230" s="32">
        <f>IF(B229&lt;'Умови та класичний графік'!$J$14,J229,"")</f>
        <v>41666.666666666664</v>
      </c>
      <c r="K230" s="32">
        <f>IF(B229&lt;'Умови та класичний графік'!$J$14,((I229*'Умови та класичний графік'!$J$23)/365)*F230,"")</f>
        <v>38219.178082191771</v>
      </c>
      <c r="L230" s="30">
        <f>IF(B229&lt;'Умови та класичний графік'!$J$14,SUM(M230:V230),"")</f>
        <v>0</v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>
        <f>IF(B229&lt;'Умови та класичний графік'!$J$14,XIRR($G$37:G230,$C$37:C230,0),"")</f>
        <v>0.4253016845703127</v>
      </c>
      <c r="X230" s="42"/>
      <c r="Y230" s="35"/>
    </row>
    <row r="231" spans="2:25" x14ac:dyDescent="0.2">
      <c r="B231" s="25">
        <v>194</v>
      </c>
      <c r="C231" s="36">
        <f>IF(B230&lt;'Умови та класичний графік'!$J$14,EDATE(C230,1),"")</f>
        <v>51196</v>
      </c>
      <c r="D231" s="36">
        <f>IF(B230&lt;'Умови та класичний графік'!$J$14,C230,"")</f>
        <v>51167</v>
      </c>
      <c r="E231" s="26">
        <f>IF(B230&lt;'Умови та класичний графік'!$J$14,C231-1,"")</f>
        <v>51195</v>
      </c>
      <c r="F231" s="37">
        <f>IF(B230&lt;'Умови та класичний графік'!$J$14,E231-D231+1,"")</f>
        <v>29</v>
      </c>
      <c r="G231" s="89">
        <f>IF(B230&lt;'Умови та класичний графік'!$J$14,J231+K231+L231,"")</f>
        <v>76675.22831050228</v>
      </c>
      <c r="H231" s="90"/>
      <c r="I231" s="32">
        <f>IF(B230&lt;'Умови та класичний графік'!$J$14,I230-J231,"")</f>
        <v>1916666.6666666663</v>
      </c>
      <c r="J231" s="32">
        <f>IF(B230&lt;'Умови та класичний графік'!$J$14,J230,"")</f>
        <v>41666.666666666664</v>
      </c>
      <c r="K231" s="32">
        <f>IF(B230&lt;'Умови та класичний графік'!$J$14,((I230*'Умови та класичний графік'!$J$23)/365)*F231,"")</f>
        <v>35008.561643835616</v>
      </c>
      <c r="L231" s="30">
        <f>IF(B230&lt;'Умови та класичний графік'!$J$14,SUM(M231:V231),"")</f>
        <v>0</v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>
        <f>IF(B230&lt;'Умови та класичний графік'!$J$14,XIRR($G$37:G231,$C$37:C231,0),"")</f>
        <v>0.42531915527343755</v>
      </c>
      <c r="X231" s="42"/>
      <c r="Y231" s="35"/>
    </row>
    <row r="232" spans="2:25" x14ac:dyDescent="0.2">
      <c r="B232" s="25">
        <v>195</v>
      </c>
      <c r="C232" s="36">
        <f>IF(B231&lt;'Умови та класичний графік'!$J$14,EDATE(C231,1),"")</f>
        <v>51227</v>
      </c>
      <c r="D232" s="36">
        <f>IF(B231&lt;'Умови та класичний графік'!$J$14,C231,"")</f>
        <v>51196</v>
      </c>
      <c r="E232" s="26">
        <f>IF(B231&lt;'Умови та класичний графік'!$J$14,C232-1,"")</f>
        <v>51226</v>
      </c>
      <c r="F232" s="37">
        <f>IF(B231&lt;'Умови та класичний графік'!$J$14,E232-D232+1,"")</f>
        <v>31</v>
      </c>
      <c r="G232" s="89">
        <f>IF(B231&lt;'Умови та класичний графік'!$J$14,J232+K232+L232,"")</f>
        <v>78293.378995433784</v>
      </c>
      <c r="H232" s="90"/>
      <c r="I232" s="32">
        <f>IF(B231&lt;'Умови та класичний графік'!$J$14,I231-J232,"")</f>
        <v>1874999.9999999995</v>
      </c>
      <c r="J232" s="32">
        <f>IF(B231&lt;'Умови та класичний графік'!$J$14,J231,"")</f>
        <v>41666.666666666664</v>
      </c>
      <c r="K232" s="32">
        <f>IF(B231&lt;'Умови та класичний графік'!$J$14,((I231*'Умови та класичний графік'!$J$23)/365)*F232,"")</f>
        <v>36626.71232876712</v>
      </c>
      <c r="L232" s="30">
        <f>IF(B231&lt;'Умови та класичний графік'!$J$14,SUM(M232:V232),"")</f>
        <v>0</v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>
        <f>IF(B231&lt;'Умови та класичний графік'!$J$14,XIRR($G$37:G232,$C$37:C232,0),"")</f>
        <v>0.42533645019531252</v>
      </c>
      <c r="X232" s="42"/>
      <c r="Y232" s="35"/>
    </row>
    <row r="233" spans="2:25" x14ac:dyDescent="0.2">
      <c r="B233" s="25">
        <v>196</v>
      </c>
      <c r="C233" s="36">
        <f>IF(B232&lt;'Умови та класичний графік'!$J$14,EDATE(C232,1),"")</f>
        <v>51257</v>
      </c>
      <c r="D233" s="36">
        <f>IF(B232&lt;'Умови та класичний графік'!$J$14,C232,"")</f>
        <v>51227</v>
      </c>
      <c r="E233" s="26">
        <f>IF(B232&lt;'Умови та класичний графік'!$J$14,C233-1,"")</f>
        <v>51256</v>
      </c>
      <c r="F233" s="37">
        <f>IF(B232&lt;'Умови та класичний графік'!$J$14,E233-D233+1,"")</f>
        <v>30</v>
      </c>
      <c r="G233" s="89">
        <f>IF(B232&lt;'Умови та класичний графік'!$J$14,J233+K233+L233,"")</f>
        <v>76341.324200913223</v>
      </c>
      <c r="H233" s="90"/>
      <c r="I233" s="32">
        <f>IF(B232&lt;'Умови та класичний графік'!$J$14,I232-J233,"")</f>
        <v>1833333.3333333328</v>
      </c>
      <c r="J233" s="32">
        <f>IF(B232&lt;'Умови та класичний графік'!$J$14,J232,"")</f>
        <v>41666.666666666664</v>
      </c>
      <c r="K233" s="32">
        <f>IF(B232&lt;'Умови та класичний графік'!$J$14,((I232*'Умови та класичний графік'!$J$23)/365)*F233,"")</f>
        <v>34674.657534246566</v>
      </c>
      <c r="L233" s="30">
        <f>IF(B232&lt;'Умови та класичний графік'!$J$14,SUM(M233:V233),"")</f>
        <v>0</v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>
        <f>IF(B232&lt;'Умови та класичний графік'!$J$14,XIRR($G$37:G233,$C$37:C233,0),"")</f>
        <v>0.42535282714843747</v>
      </c>
      <c r="X233" s="42"/>
      <c r="Y233" s="35"/>
    </row>
    <row r="234" spans="2:25" x14ac:dyDescent="0.2">
      <c r="B234" s="25">
        <v>197</v>
      </c>
      <c r="C234" s="36">
        <f>IF(B233&lt;'Умови та класичний графік'!$J$14,EDATE(C233,1),"")</f>
        <v>51288</v>
      </c>
      <c r="D234" s="36">
        <f>IF(B233&lt;'Умови та класичний графік'!$J$14,C233,"")</f>
        <v>51257</v>
      </c>
      <c r="E234" s="26">
        <f>IF(B233&lt;'Умови та класичний графік'!$J$14,C234-1,"")</f>
        <v>51287</v>
      </c>
      <c r="F234" s="37">
        <f>IF(B233&lt;'Умови та класичний графік'!$J$14,E234-D234+1,"")</f>
        <v>31</v>
      </c>
      <c r="G234" s="89">
        <f>IF(B233&lt;'Умови та класичний графік'!$J$14,J234+K234+L234,"")</f>
        <v>76700.913242009119</v>
      </c>
      <c r="H234" s="90"/>
      <c r="I234" s="32">
        <f>IF(B233&lt;'Умови та класичний графік'!$J$14,I233-J234,"")</f>
        <v>1791666.666666666</v>
      </c>
      <c r="J234" s="32">
        <f>IF(B233&lt;'Умови та класичний графік'!$J$14,J233,"")</f>
        <v>41666.666666666664</v>
      </c>
      <c r="K234" s="32">
        <f>IF(B233&lt;'Умови та класичний графік'!$J$14,((I233*'Умови та класичний графік'!$J$23)/365)*F234,"")</f>
        <v>35034.246575342455</v>
      </c>
      <c r="L234" s="30">
        <f>IF(B233&lt;'Умови та класичний графік'!$J$14,SUM(M234:V234),"")</f>
        <v>0</v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>
        <f>IF(B233&lt;'Умови та класичний графік'!$J$14,XIRR($G$37:G234,$C$37:C234,0),"")</f>
        <v>0.42536879394531257</v>
      </c>
      <c r="X234" s="42"/>
      <c r="Y234" s="35"/>
    </row>
    <row r="235" spans="2:25" x14ac:dyDescent="0.2">
      <c r="B235" s="25">
        <v>198</v>
      </c>
      <c r="C235" s="36">
        <f>IF(B234&lt;'Умови та класичний графік'!$J$14,EDATE(C234,1),"")</f>
        <v>51318</v>
      </c>
      <c r="D235" s="36">
        <f>IF(B234&lt;'Умови та класичний графік'!$J$14,C234,"")</f>
        <v>51288</v>
      </c>
      <c r="E235" s="26">
        <f>IF(B234&lt;'Умови та класичний графік'!$J$14,C235-1,"")</f>
        <v>51317</v>
      </c>
      <c r="F235" s="37">
        <f>IF(B234&lt;'Умови та класичний графік'!$J$14,E235-D235+1,"")</f>
        <v>30</v>
      </c>
      <c r="G235" s="89">
        <f>IF(B234&lt;'Умови та класичний графік'!$J$14,J235+K235+L235,"")</f>
        <v>74800.22831050228</v>
      </c>
      <c r="H235" s="90"/>
      <c r="I235" s="32">
        <f>IF(B234&lt;'Умови та класичний графік'!$J$14,I234-J235,"")</f>
        <v>1749999.9999999993</v>
      </c>
      <c r="J235" s="32">
        <f>IF(B234&lt;'Умови та класичний графік'!$J$14,J234,"")</f>
        <v>41666.666666666664</v>
      </c>
      <c r="K235" s="32">
        <f>IF(B234&lt;'Умови та класичний графік'!$J$14,((I234*'Умови та класичний графік'!$J$23)/365)*F235,"")</f>
        <v>33133.561643835608</v>
      </c>
      <c r="L235" s="30">
        <f>IF(B234&lt;'Умови та класичний графік'!$J$14,SUM(M235:V235),"")</f>
        <v>0</v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>
        <f>IF(B234&lt;'Умови та класичний графік'!$J$14,XIRR($G$37:G235,$C$37:C235,0),"")</f>
        <v>0.42538390136718762</v>
      </c>
      <c r="X235" s="42"/>
      <c r="Y235" s="35"/>
    </row>
    <row r="236" spans="2:25" x14ac:dyDescent="0.2">
      <c r="B236" s="25">
        <v>199</v>
      </c>
      <c r="C236" s="36">
        <f>IF(B235&lt;'Умови та класичний графік'!$J$14,EDATE(C235,1),"")</f>
        <v>51349</v>
      </c>
      <c r="D236" s="36">
        <f>IF(B235&lt;'Умови та класичний графік'!$J$14,C235,"")</f>
        <v>51318</v>
      </c>
      <c r="E236" s="26">
        <f>IF(B235&lt;'Умови та класичний графік'!$J$14,C236-1,"")</f>
        <v>51348</v>
      </c>
      <c r="F236" s="37">
        <f>IF(B235&lt;'Умови та класичний графік'!$J$14,E236-D236+1,"")</f>
        <v>31</v>
      </c>
      <c r="G236" s="89">
        <f>IF(B235&lt;'Умови та класичний графік'!$J$14,J236+K236+L236,"")</f>
        <v>75108.447488584468</v>
      </c>
      <c r="H236" s="90"/>
      <c r="I236" s="32">
        <f>IF(B235&lt;'Умови та класичний графік'!$J$14,I235-J236,"")</f>
        <v>1708333.3333333326</v>
      </c>
      <c r="J236" s="32">
        <f>IF(B235&lt;'Умови та класичний графік'!$J$14,J235,"")</f>
        <v>41666.666666666664</v>
      </c>
      <c r="K236" s="32">
        <f>IF(B235&lt;'Умови та класичний графік'!$J$14,((I235*'Умови та класичний графік'!$J$23)/365)*F236,"")</f>
        <v>33441.780821917797</v>
      </c>
      <c r="L236" s="30">
        <f>IF(B235&lt;'Умови та класичний графік'!$J$14,SUM(M236:V236),"")</f>
        <v>0</v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>
        <f>IF(B235&lt;'Умови та класичний графік'!$J$14,XIRR($G$37:G236,$C$37:C236,0),"")</f>
        <v>0.42539862792968763</v>
      </c>
      <c r="X236" s="42"/>
      <c r="Y236" s="35"/>
    </row>
    <row r="237" spans="2:25" x14ac:dyDescent="0.2">
      <c r="B237" s="25">
        <v>200</v>
      </c>
      <c r="C237" s="36">
        <f>IF(B236&lt;'Умови та класичний графік'!$J$14,EDATE(C236,1),"")</f>
        <v>51380</v>
      </c>
      <c r="D237" s="36">
        <f>IF(B236&lt;'Умови та класичний графік'!$J$14,C236,"")</f>
        <v>51349</v>
      </c>
      <c r="E237" s="26">
        <f>IF(B236&lt;'Умови та класичний графік'!$J$14,C237-1,"")</f>
        <v>51379</v>
      </c>
      <c r="F237" s="37">
        <f>IF(B236&lt;'Умови та класичний графік'!$J$14,E237-D237+1,"")</f>
        <v>31</v>
      </c>
      <c r="G237" s="89">
        <f>IF(B236&lt;'Умови та класичний графік'!$J$14,J237+K237+L237,"")</f>
        <v>74312.214611872128</v>
      </c>
      <c r="H237" s="90"/>
      <c r="I237" s="32">
        <f>IF(B236&lt;'Умови та класичний графік'!$J$14,I236-J237,"")</f>
        <v>1666666.6666666658</v>
      </c>
      <c r="J237" s="32">
        <f>IF(B236&lt;'Умови та класичний графік'!$J$14,J236,"")</f>
        <v>41666.666666666664</v>
      </c>
      <c r="K237" s="32">
        <f>IF(B236&lt;'Умови та класичний графік'!$J$14,((I236*'Умови та класичний графік'!$J$23)/365)*F237,"")</f>
        <v>32645.547945205464</v>
      </c>
      <c r="L237" s="30">
        <f>IF(B236&lt;'Умови та класичний графік'!$J$14,SUM(M237:V237),"")</f>
        <v>0</v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>
        <f>IF(B236&lt;'Умови та класичний графік'!$J$14,XIRR($G$37:G237,$C$37:C237,0),"")</f>
        <v>0.42541275878906259</v>
      </c>
      <c r="X237" s="42"/>
      <c r="Y237" s="35"/>
    </row>
    <row r="238" spans="2:25" x14ac:dyDescent="0.2">
      <c r="B238" s="25">
        <v>201</v>
      </c>
      <c r="C238" s="36">
        <f>IF(B237&lt;'Умови та класичний графік'!$J$14,EDATE(C237,1),"")</f>
        <v>51410</v>
      </c>
      <c r="D238" s="36">
        <f>IF(B237&lt;'Умови та класичний графік'!$J$14,C237,"")</f>
        <v>51380</v>
      </c>
      <c r="E238" s="26">
        <f>IF(B237&lt;'Умови та класичний графік'!$J$14,C238-1,"")</f>
        <v>51409</v>
      </c>
      <c r="F238" s="37">
        <f>IF(B237&lt;'Умови та класичний графік'!$J$14,E238-D238+1,"")</f>
        <v>30</v>
      </c>
      <c r="G238" s="89">
        <f>IF(B237&lt;'Умови та класичний графік'!$J$14,J238+K238+L238,"")</f>
        <v>72488.584474885822</v>
      </c>
      <c r="H238" s="90"/>
      <c r="I238" s="32">
        <f>IF(B237&lt;'Умови та класичний графік'!$J$14,I237-J238,"")</f>
        <v>1624999.9999999991</v>
      </c>
      <c r="J238" s="32">
        <f>IF(B237&lt;'Умови та класичний графік'!$J$14,J237,"")</f>
        <v>41666.666666666664</v>
      </c>
      <c r="K238" s="32">
        <f>IF(B237&lt;'Умови та класичний графік'!$J$14,((I237*'Умови та класичний графік'!$J$23)/365)*F238,"")</f>
        <v>30821.917808219161</v>
      </c>
      <c r="L238" s="30">
        <f>IF(B237&lt;'Умови та класичний графік'!$J$14,SUM(M238:V238),"")</f>
        <v>0</v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>
        <f>IF(B237&lt;'Умови та класичний графік'!$J$14,XIRR($G$37:G238,$C$37:C238,0),"")</f>
        <v>0.42542614746093754</v>
      </c>
      <c r="X238" s="42"/>
      <c r="Y238" s="35"/>
    </row>
    <row r="239" spans="2:25" x14ac:dyDescent="0.2">
      <c r="B239" s="25">
        <v>202</v>
      </c>
      <c r="C239" s="36">
        <f>IF(B238&lt;'Умови та класичний графік'!$J$14,EDATE(C238,1),"")</f>
        <v>51441</v>
      </c>
      <c r="D239" s="36">
        <f>IF(B238&lt;'Умови та класичний графік'!$J$14,C238,"")</f>
        <v>51410</v>
      </c>
      <c r="E239" s="26">
        <f>IF(B238&lt;'Умови та класичний графік'!$J$14,C239-1,"")</f>
        <v>51440</v>
      </c>
      <c r="F239" s="37">
        <f>IF(B238&lt;'Умови та класичний графік'!$J$14,E239-D239+1,"")</f>
        <v>31</v>
      </c>
      <c r="G239" s="89">
        <f>IF(B238&lt;'Умови та класичний графік'!$J$14,J239+K239+L239,"")</f>
        <v>72719.748858447478</v>
      </c>
      <c r="H239" s="90"/>
      <c r="I239" s="32">
        <f>IF(B238&lt;'Умови та класичний графік'!$J$14,I238-J239,"")</f>
        <v>1583333.3333333323</v>
      </c>
      <c r="J239" s="32">
        <f>IF(B238&lt;'Умови та класичний графік'!$J$14,J238,"")</f>
        <v>41666.666666666664</v>
      </c>
      <c r="K239" s="32">
        <f>IF(B238&lt;'Умови та класичний графік'!$J$14,((I238*'Умови та класичний графік'!$J$23)/365)*F239,"")</f>
        <v>31053.082191780806</v>
      </c>
      <c r="L239" s="30">
        <f>IF(B238&lt;'Умови та класичний графік'!$J$14,SUM(M239:V239),"")</f>
        <v>0</v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>
        <f>IF(B238&lt;'Умови та класичний графік'!$J$14,XIRR($G$37:G239,$C$37:C239,0),"")</f>
        <v>0.42543917480468763</v>
      </c>
      <c r="X239" s="42"/>
      <c r="Y239" s="35"/>
    </row>
    <row r="240" spans="2:25" x14ac:dyDescent="0.2">
      <c r="B240" s="25">
        <v>203</v>
      </c>
      <c r="C240" s="36">
        <f>IF(B239&lt;'Умови та класичний графік'!$J$14,EDATE(C239,1),"")</f>
        <v>51471</v>
      </c>
      <c r="D240" s="36">
        <f>IF(B239&lt;'Умови та класичний графік'!$J$14,C239,"")</f>
        <v>51441</v>
      </c>
      <c r="E240" s="26">
        <f>IF(B239&lt;'Умови та класичний графік'!$J$14,C240-1,"")</f>
        <v>51470</v>
      </c>
      <c r="F240" s="37">
        <f>IF(B239&lt;'Умови та класичний графік'!$J$14,E240-D240+1,"")</f>
        <v>30</v>
      </c>
      <c r="G240" s="89">
        <f>IF(B239&lt;'Умови та класичний графік'!$J$14,J240+K240+L240,"")</f>
        <v>70947.488584474864</v>
      </c>
      <c r="H240" s="90"/>
      <c r="I240" s="32">
        <f>IF(B239&lt;'Умови та класичний графік'!$J$14,I239-J240,"")</f>
        <v>1541666.6666666656</v>
      </c>
      <c r="J240" s="32">
        <f>IF(B239&lt;'Умови та класичний графік'!$J$14,J239,"")</f>
        <v>41666.666666666664</v>
      </c>
      <c r="K240" s="32">
        <f>IF(B239&lt;'Умови та класичний графік'!$J$14,((I239*'Умови та класичний графік'!$J$23)/365)*F240,"")</f>
        <v>29280.8219178082</v>
      </c>
      <c r="L240" s="30">
        <f>IF(B239&lt;'Умови та класичний графік'!$J$14,SUM(M240:V240),"")</f>
        <v>0</v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>
        <f>IF(B239&lt;'Умови та класичний графік'!$J$14,XIRR($G$37:G240,$C$37:C240,0),"")</f>
        <v>0.42545150878906268</v>
      </c>
      <c r="X240" s="42"/>
      <c r="Y240" s="35"/>
    </row>
    <row r="241" spans="2:25" x14ac:dyDescent="0.2">
      <c r="B241" s="25">
        <v>204</v>
      </c>
      <c r="C241" s="36">
        <f>IF(B240&lt;'Умови та класичний графік'!$J$14,EDATE(C240,1),"")</f>
        <v>51502</v>
      </c>
      <c r="D241" s="36">
        <f>IF(B240&lt;'Умови та класичний графік'!$J$14,C240,"")</f>
        <v>51471</v>
      </c>
      <c r="E241" s="26">
        <f>IF(B240&lt;'Умови та класичний графік'!$J$14,C241-1,"")</f>
        <v>51501</v>
      </c>
      <c r="F241" s="37">
        <f>IF(B240&lt;'Умови та класичний графік'!$J$14,E241-D241+1,"")</f>
        <v>31</v>
      </c>
      <c r="G241" s="89">
        <f>IF(B240&lt;'Умови та класичний графік'!$J$14,J241+K241+L241,"")</f>
        <v>501627.2831050228</v>
      </c>
      <c r="H241" s="90"/>
      <c r="I241" s="32">
        <f>IF(B240&lt;'Умови та класичний графік'!$J$14,I240-J241,"")</f>
        <v>1499999.9999999988</v>
      </c>
      <c r="J241" s="32">
        <f>IF(B240&lt;'Умови та класичний графік'!$J$14,J240,"")</f>
        <v>41666.666666666664</v>
      </c>
      <c r="K241" s="32">
        <f>IF(B240&lt;'Умови та класичний графік'!$J$14,((I240*'Умови та класичний графік'!$J$23)/365)*F241,"")</f>
        <v>29460.616438356144</v>
      </c>
      <c r="L241" s="30">
        <f>IF(B240&lt;'Умови та класичний графік'!$J$14,SUM(M241:V241),"")</f>
        <v>430500</v>
      </c>
      <c r="M241" s="38"/>
      <c r="N241" s="39"/>
      <c r="O241" s="39"/>
      <c r="P241" s="32"/>
      <c r="Q241" s="40"/>
      <c r="R241" s="40"/>
      <c r="S241" s="41"/>
      <c r="T241" s="41"/>
      <c r="U241" s="33">
        <f>IF(B240&lt;'Умови та класичний графік'!$J$14,('Умови та класичний графік'!$J$15*$N$21)+(I241*$N$22),"")</f>
        <v>430500</v>
      </c>
      <c r="V241" s="41"/>
      <c r="W241" s="43">
        <f>IF(B240&lt;'Умови та класичний графік'!$J$14,XIRR($G$37:G241,$C$37:C241,0),"")</f>
        <v>0.42553609863281261</v>
      </c>
      <c r="X241" s="42"/>
      <c r="Y241" s="35"/>
    </row>
    <row r="242" spans="2:25" x14ac:dyDescent="0.2">
      <c r="B242" s="25">
        <v>205</v>
      </c>
      <c r="C242" s="36">
        <f>IF(B241&lt;'Умови та класичний графік'!$J$14,EDATE(C241,1),"")</f>
        <v>51533</v>
      </c>
      <c r="D242" s="36">
        <f>IF(B241&lt;'Умови та класичний графік'!$J$14,C241,"")</f>
        <v>51502</v>
      </c>
      <c r="E242" s="26">
        <f>IF(B241&lt;'Умови та класичний графік'!$J$14,C242-1,"")</f>
        <v>51532</v>
      </c>
      <c r="F242" s="37">
        <f>IF(B241&lt;'Умови та класичний графік'!$J$14,E242-D242+1,"")</f>
        <v>31</v>
      </c>
      <c r="G242" s="89">
        <f>IF(B241&lt;'Умови та класичний графік'!$J$14,J242+K242+L242,"")</f>
        <v>70331.050228310487</v>
      </c>
      <c r="H242" s="90"/>
      <c r="I242" s="32">
        <f>IF(B241&lt;'Умови та класичний графік'!$J$14,I241-J242,"")</f>
        <v>1458333.3333333321</v>
      </c>
      <c r="J242" s="32">
        <f>IF(B241&lt;'Умови та класичний графік'!$J$14,J241,"")</f>
        <v>41666.666666666664</v>
      </c>
      <c r="K242" s="32">
        <f>IF(B241&lt;'Умови та класичний графік'!$J$14,((I241*'Умови та класичний графік'!$J$23)/365)*F242,"")</f>
        <v>28664.383561643819</v>
      </c>
      <c r="L242" s="30">
        <f>IF(B241&lt;'Умови та класичний графік'!$J$14,SUM(M242:V242),"")</f>
        <v>0</v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>
        <f>IF(B241&lt;'Умови та класичний графік'!$J$14,XIRR($G$37:G242,$C$37:C242,0),"")</f>
        <v>0.42554759277343757</v>
      </c>
      <c r="X242" s="42"/>
      <c r="Y242" s="35"/>
    </row>
    <row r="243" spans="2:25" x14ac:dyDescent="0.2">
      <c r="B243" s="25">
        <v>206</v>
      </c>
      <c r="C243" s="36">
        <f>IF(B242&lt;'Умови та класичний графік'!$J$14,EDATE(C242,1),"")</f>
        <v>51561</v>
      </c>
      <c r="D243" s="36">
        <f>IF(B242&lt;'Умови та класичний графік'!$J$14,C242,"")</f>
        <v>51533</v>
      </c>
      <c r="E243" s="26">
        <f>IF(B242&lt;'Умови та класичний графік'!$J$14,C243-1,"")</f>
        <v>51560</v>
      </c>
      <c r="F243" s="37">
        <f>IF(B242&lt;'Умови та класичний графік'!$J$14,E243-D243+1,"")</f>
        <v>28</v>
      </c>
      <c r="G243" s="89">
        <f>IF(B242&lt;'Умови та класичний графік'!$J$14,J243+K243+L243,"")</f>
        <v>66837.899543378968</v>
      </c>
      <c r="H243" s="90"/>
      <c r="I243" s="32">
        <f>IF(B242&lt;'Умови та класичний графік'!$J$14,I242-J243,"")</f>
        <v>1416666.6666666653</v>
      </c>
      <c r="J243" s="32">
        <f>IF(B242&lt;'Умови та класичний графік'!$J$14,J242,"")</f>
        <v>41666.666666666664</v>
      </c>
      <c r="K243" s="32">
        <f>IF(B242&lt;'Умови та класичний графік'!$J$14,((I242*'Умови та класичний графік'!$J$23)/365)*F243,"")</f>
        <v>25171.232876712304</v>
      </c>
      <c r="L243" s="30">
        <f>IF(B242&lt;'Умови та класичний графік'!$J$14,SUM(M243:V243),"")</f>
        <v>0</v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>
        <f>IF(B242&lt;'Умови та класичний графік'!$J$14,XIRR($G$37:G243,$C$37:C243,0),"")</f>
        <v>0.42555821777343761</v>
      </c>
      <c r="X243" s="42"/>
      <c r="Y243" s="35"/>
    </row>
    <row r="244" spans="2:25" x14ac:dyDescent="0.2">
      <c r="B244" s="25">
        <v>207</v>
      </c>
      <c r="C244" s="36">
        <f>IF(B243&lt;'Умови та класичний графік'!$J$14,EDATE(C243,1),"")</f>
        <v>51592</v>
      </c>
      <c r="D244" s="36">
        <f>IF(B243&lt;'Умови та класичний графік'!$J$14,C243,"")</f>
        <v>51561</v>
      </c>
      <c r="E244" s="26">
        <f>IF(B243&lt;'Умови та класичний графік'!$J$14,C244-1,"")</f>
        <v>51591</v>
      </c>
      <c r="F244" s="37">
        <f>IF(B243&lt;'Умови та класичний графік'!$J$14,E244-D244+1,"")</f>
        <v>31</v>
      </c>
      <c r="G244" s="89">
        <f>IF(B243&lt;'Умови та класичний графік'!$J$14,J244+K244+L244,"")</f>
        <v>68738.584474885822</v>
      </c>
      <c r="H244" s="90"/>
      <c r="I244" s="32">
        <f>IF(B243&lt;'Умови та класичний графік'!$J$14,I243-J244,"")</f>
        <v>1374999.9999999986</v>
      </c>
      <c r="J244" s="32">
        <f>IF(B243&lt;'Умови та класичний графік'!$J$14,J243,"")</f>
        <v>41666.666666666664</v>
      </c>
      <c r="K244" s="32">
        <f>IF(B243&lt;'Умови та класичний графік'!$J$14,((I243*'Умови та класичний графік'!$J$23)/365)*F244,"")</f>
        <v>27071.917808219154</v>
      </c>
      <c r="L244" s="30">
        <f>IF(B243&lt;'Умови та класичний графік'!$J$14,SUM(M244:V244),"")</f>
        <v>0</v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>
        <f>IF(B243&lt;'Умови та класичний графік'!$J$14,XIRR($G$37:G244,$C$37:C244,0),"")</f>
        <v>0.42556883300781256</v>
      </c>
      <c r="X244" s="42"/>
      <c r="Y244" s="35"/>
    </row>
    <row r="245" spans="2:25" x14ac:dyDescent="0.2">
      <c r="B245" s="25">
        <v>208</v>
      </c>
      <c r="C245" s="36">
        <f>IF(B244&lt;'Умови та класичний графік'!$J$14,EDATE(C244,1),"")</f>
        <v>51622</v>
      </c>
      <c r="D245" s="36">
        <f>IF(B244&lt;'Умови та класичний графік'!$J$14,C244,"")</f>
        <v>51592</v>
      </c>
      <c r="E245" s="26">
        <f>IF(B244&lt;'Умови та класичний графік'!$J$14,C245-1,"")</f>
        <v>51621</v>
      </c>
      <c r="F245" s="37">
        <f>IF(B244&lt;'Умови та класичний графік'!$J$14,E245-D245+1,"")</f>
        <v>30</v>
      </c>
      <c r="G245" s="89">
        <f>IF(B244&lt;'Умови та класичний графік'!$J$14,J245+K245+L245,"")</f>
        <v>67094.748858447463</v>
      </c>
      <c r="H245" s="90"/>
      <c r="I245" s="32">
        <f>IF(B244&lt;'Умови та класичний графік'!$J$14,I244-J245,"")</f>
        <v>1333333.3333333319</v>
      </c>
      <c r="J245" s="32">
        <f>IF(B244&lt;'Умови та класичний графік'!$J$14,J244,"")</f>
        <v>41666.666666666664</v>
      </c>
      <c r="K245" s="32">
        <f>IF(B244&lt;'Умови та класичний графік'!$J$14,((I244*'Умови та класичний графік'!$J$23)/365)*F245,"")</f>
        <v>25428.082191780799</v>
      </c>
      <c r="L245" s="30">
        <f>IF(B244&lt;'Умови та класичний графік'!$J$14,SUM(M245:V245),"")</f>
        <v>0</v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>
        <f>IF(B244&lt;'Умови та класичний графік'!$J$14,XIRR($G$37:G245,$C$37:C245,0),"")</f>
        <v>0.42557888183593751</v>
      </c>
      <c r="X245" s="42"/>
      <c r="Y245" s="35"/>
    </row>
    <row r="246" spans="2:25" x14ac:dyDescent="0.2">
      <c r="B246" s="25">
        <v>209</v>
      </c>
      <c r="C246" s="36">
        <f>IF(B245&lt;'Умови та класичний графік'!$J$14,EDATE(C245,1),"")</f>
        <v>51653</v>
      </c>
      <c r="D246" s="36">
        <f>IF(B245&lt;'Умови та класичний графік'!$J$14,C245,"")</f>
        <v>51622</v>
      </c>
      <c r="E246" s="26">
        <f>IF(B245&lt;'Умови та класичний графік'!$J$14,C246-1,"")</f>
        <v>51652</v>
      </c>
      <c r="F246" s="37">
        <f>IF(B245&lt;'Умови та класичний графік'!$J$14,E246-D246+1,"")</f>
        <v>31</v>
      </c>
      <c r="G246" s="89">
        <f>IF(B245&lt;'Умови та класичний графік'!$J$14,J246+K246+L246,"")</f>
        <v>67146.118721461156</v>
      </c>
      <c r="H246" s="90"/>
      <c r="I246" s="32">
        <f>IF(B245&lt;'Умови та класичний графік'!$J$14,I245-J246,"")</f>
        <v>1291666.6666666651</v>
      </c>
      <c r="J246" s="32">
        <f>IF(B245&lt;'Умови та класичний графік'!$J$14,J245,"")</f>
        <v>41666.666666666664</v>
      </c>
      <c r="K246" s="32">
        <f>IF(B245&lt;'Умови та класичний графік'!$J$14,((I245*'Умови та класичний графік'!$J$23)/365)*F246,"")</f>
        <v>25479.452054794492</v>
      </c>
      <c r="L246" s="30">
        <f>IF(B245&lt;'Умови та класичний графік'!$J$14,SUM(M246:V246),"")</f>
        <v>0</v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>
        <f>IF(B245&lt;'Умови та класичний графік'!$J$14,XIRR($G$37:G246,$C$37:C246,0),"")</f>
        <v>0.42558863769531252</v>
      </c>
      <c r="X246" s="42"/>
      <c r="Y246" s="35"/>
    </row>
    <row r="247" spans="2:25" x14ac:dyDescent="0.2">
      <c r="B247" s="25">
        <v>210</v>
      </c>
      <c r="C247" s="36">
        <f>IF(B246&lt;'Умови та класичний графік'!$J$14,EDATE(C246,1),"")</f>
        <v>51683</v>
      </c>
      <c r="D247" s="36">
        <f>IF(B246&lt;'Умови та класичний графік'!$J$14,C246,"")</f>
        <v>51653</v>
      </c>
      <c r="E247" s="26">
        <f>IF(B246&lt;'Умови та класичний графік'!$J$14,C247-1,"")</f>
        <v>51682</v>
      </c>
      <c r="F247" s="37">
        <f>IF(B246&lt;'Умови та класичний графік'!$J$14,E247-D247+1,"")</f>
        <v>30</v>
      </c>
      <c r="G247" s="89">
        <f>IF(B246&lt;'Умови та класичний графік'!$J$14,J247+K247+L247,"")</f>
        <v>65553.652968036506</v>
      </c>
      <c r="H247" s="90"/>
      <c r="I247" s="32">
        <f>IF(B246&lt;'Умови та класичний графік'!$J$14,I246-J247,"")</f>
        <v>1249999.9999999984</v>
      </c>
      <c r="J247" s="32">
        <f>IF(B246&lt;'Умови та класичний графік'!$J$14,J246,"")</f>
        <v>41666.666666666664</v>
      </c>
      <c r="K247" s="32">
        <f>IF(B246&lt;'Умови та класичний графік'!$J$14,((I246*'Умови та класичний графік'!$J$23)/365)*F247,"")</f>
        <v>23886.986301369834</v>
      </c>
      <c r="L247" s="30">
        <f>IF(B246&lt;'Умови та класичний графік'!$J$14,SUM(M247:V247),"")</f>
        <v>0</v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>
        <f>IF(B246&lt;'Умови та класичний графік'!$J$14,XIRR($G$37:G247,$C$37:C247,0),"")</f>
        <v>0.42559789550781257</v>
      </c>
      <c r="X247" s="42"/>
      <c r="Y247" s="35"/>
    </row>
    <row r="248" spans="2:25" x14ac:dyDescent="0.2">
      <c r="B248" s="25">
        <v>211</v>
      </c>
      <c r="C248" s="36">
        <f>IF(B247&lt;'Умови та класичний графік'!$J$14,EDATE(C247,1),"")</f>
        <v>51714</v>
      </c>
      <c r="D248" s="36">
        <f>IF(B247&lt;'Умови та класичний графік'!$J$14,C247,"")</f>
        <v>51683</v>
      </c>
      <c r="E248" s="26">
        <f>IF(B247&lt;'Умови та класичний графік'!$J$14,C248-1,"")</f>
        <v>51713</v>
      </c>
      <c r="F248" s="37">
        <f>IF(B247&lt;'Умови та класичний графік'!$J$14,E248-D248+1,"")</f>
        <v>31</v>
      </c>
      <c r="G248" s="89">
        <f>IF(B247&lt;'Умови та класичний графік'!$J$14,J248+K248+L248,"")</f>
        <v>65553.652968036506</v>
      </c>
      <c r="H248" s="90"/>
      <c r="I248" s="32">
        <f>IF(B247&lt;'Умови та класичний графік'!$J$14,I247-J248,"")</f>
        <v>1208333.3333333316</v>
      </c>
      <c r="J248" s="32">
        <f>IF(B247&lt;'Умови та класичний графік'!$J$14,J247,"")</f>
        <v>41666.666666666664</v>
      </c>
      <c r="K248" s="32">
        <f>IF(B247&lt;'Умови та класичний графік'!$J$14,((I247*'Умови та класичний графік'!$J$23)/365)*F248,"")</f>
        <v>23886.986301369834</v>
      </c>
      <c r="L248" s="30">
        <f>IF(B247&lt;'Умови та класичний графік'!$J$14,SUM(M248:V248),"")</f>
        <v>0</v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>
        <f>IF(B247&lt;'Умови та класичний графік'!$J$14,XIRR($G$37:G248,$C$37:C248,0),"")</f>
        <v>0.42560687011718767</v>
      </c>
      <c r="X248" s="42"/>
      <c r="Y248" s="35"/>
    </row>
    <row r="249" spans="2:25" x14ac:dyDescent="0.2">
      <c r="B249" s="25">
        <v>212</v>
      </c>
      <c r="C249" s="36">
        <f>IF(B248&lt;'Умови та класичний графік'!$J$14,EDATE(C248,1),"")</f>
        <v>51745</v>
      </c>
      <c r="D249" s="36">
        <f>IF(B248&lt;'Умови та класичний графік'!$J$14,C248,"")</f>
        <v>51714</v>
      </c>
      <c r="E249" s="26">
        <f>IF(B248&lt;'Умови та класичний графік'!$J$14,C249-1,"")</f>
        <v>51744</v>
      </c>
      <c r="F249" s="37">
        <f>IF(B248&lt;'Умови та класичний графік'!$J$14,E249-D249+1,"")</f>
        <v>31</v>
      </c>
      <c r="G249" s="89">
        <f>IF(B248&lt;'Умови та класичний графік'!$J$14,J249+K249+L249,"")</f>
        <v>64757.420091324166</v>
      </c>
      <c r="H249" s="90"/>
      <c r="I249" s="32">
        <f>IF(B248&lt;'Умови та класичний графік'!$J$14,I248-J249,"")</f>
        <v>1166666.6666666649</v>
      </c>
      <c r="J249" s="32">
        <f>IF(B248&lt;'Умови та класичний графік'!$J$14,J248,"")</f>
        <v>41666.666666666664</v>
      </c>
      <c r="K249" s="32">
        <f>IF(B248&lt;'Умови та класичний графік'!$J$14,((I248*'Умови та класичний графік'!$J$23)/365)*F249,"")</f>
        <v>23090.753424657505</v>
      </c>
      <c r="L249" s="30">
        <f>IF(B248&lt;'Умови та класичний графік'!$J$14,SUM(M249:V249),"")</f>
        <v>0</v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>
        <f>IF(B248&lt;'Умови та класичний графік'!$J$14,XIRR($G$37:G249,$C$37:C249,0),"")</f>
        <v>0.4256154736328126</v>
      </c>
      <c r="X249" s="42"/>
      <c r="Y249" s="35"/>
    </row>
    <row r="250" spans="2:25" x14ac:dyDescent="0.2">
      <c r="B250" s="25">
        <v>213</v>
      </c>
      <c r="C250" s="36">
        <f>IF(B249&lt;'Умови та класичний графік'!$J$14,EDATE(C249,1),"")</f>
        <v>51775</v>
      </c>
      <c r="D250" s="36">
        <f>IF(B249&lt;'Умови та класичний графік'!$J$14,C249,"")</f>
        <v>51745</v>
      </c>
      <c r="E250" s="26">
        <f>IF(B249&lt;'Умови та класичний графік'!$J$14,C250-1,"")</f>
        <v>51774</v>
      </c>
      <c r="F250" s="37">
        <f>IF(B249&lt;'Умови та класичний графік'!$J$14,E250-D250+1,"")</f>
        <v>30</v>
      </c>
      <c r="G250" s="89">
        <f>IF(B249&lt;'Умови та класичний графік'!$J$14,J250+K250+L250,"")</f>
        <v>63242.009132420055</v>
      </c>
      <c r="H250" s="90"/>
      <c r="I250" s="32">
        <f>IF(B249&lt;'Умови та класичний графік'!$J$14,I249-J250,"")</f>
        <v>1124999.9999999981</v>
      </c>
      <c r="J250" s="32">
        <f>IF(B249&lt;'Умови та класичний графік'!$J$14,J249,"")</f>
        <v>41666.666666666664</v>
      </c>
      <c r="K250" s="32">
        <f>IF(B249&lt;'Умови та класичний графік'!$J$14,((I249*'Умови та класичний графік'!$J$23)/365)*F250,"")</f>
        <v>21575.342465753391</v>
      </c>
      <c r="L250" s="30">
        <f>IF(B249&lt;'Умови та класичний графік'!$J$14,SUM(M250:V250),"")</f>
        <v>0</v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>
        <f>IF(B249&lt;'Умови та класичний графік'!$J$14,XIRR($G$37:G250,$C$37:C250,0),"")</f>
        <v>0.42562363769531253</v>
      </c>
      <c r="X250" s="42"/>
      <c r="Y250" s="35"/>
    </row>
    <row r="251" spans="2:25" x14ac:dyDescent="0.2">
      <c r="B251" s="25">
        <v>214</v>
      </c>
      <c r="C251" s="36">
        <f>IF(B250&lt;'Умови та класичний графік'!$J$14,EDATE(C250,1),"")</f>
        <v>51806</v>
      </c>
      <c r="D251" s="36">
        <f>IF(B250&lt;'Умови та класичний графік'!$J$14,C250,"")</f>
        <v>51775</v>
      </c>
      <c r="E251" s="26">
        <f>IF(B250&lt;'Умови та класичний графік'!$J$14,C251-1,"")</f>
        <v>51805</v>
      </c>
      <c r="F251" s="37">
        <f>IF(B250&lt;'Умови та класичний графік'!$J$14,E251-D251+1,"")</f>
        <v>31</v>
      </c>
      <c r="G251" s="89">
        <f>IF(B250&lt;'Умови та класичний графік'!$J$14,J251+K251+L251,"")</f>
        <v>63164.9543378995</v>
      </c>
      <c r="H251" s="90"/>
      <c r="I251" s="32">
        <f>IF(B250&lt;'Умови та класичний графік'!$J$14,I250-J251,"")</f>
        <v>1083333.3333333314</v>
      </c>
      <c r="J251" s="32">
        <f>IF(B250&lt;'Умови та класичний графік'!$J$14,J250,"")</f>
        <v>41666.666666666664</v>
      </c>
      <c r="K251" s="32">
        <f>IF(B250&lt;'Умови та класичний графік'!$J$14,((I250*'Умови та класичний графік'!$J$23)/365)*F251,"")</f>
        <v>21498.28767123284</v>
      </c>
      <c r="L251" s="30">
        <f>IF(B250&lt;'Умови та класичний графік'!$J$14,SUM(M251:V251),"")</f>
        <v>0</v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>
        <f>IF(B250&lt;'Умови та класичний графік'!$J$14,XIRR($G$37:G251,$C$37:C251,0),"")</f>
        <v>0.42563153808593757</v>
      </c>
      <c r="X251" s="42"/>
      <c r="Y251" s="35"/>
    </row>
    <row r="252" spans="2:25" x14ac:dyDescent="0.2">
      <c r="B252" s="25">
        <v>215</v>
      </c>
      <c r="C252" s="36">
        <f>IF(B251&lt;'Умови та класичний графік'!$J$14,EDATE(C251,1),"")</f>
        <v>51836</v>
      </c>
      <c r="D252" s="36">
        <f>IF(B251&lt;'Умови та класичний графік'!$J$14,C251,"")</f>
        <v>51806</v>
      </c>
      <c r="E252" s="26">
        <f>IF(B251&lt;'Умови та класичний графік'!$J$14,C252-1,"")</f>
        <v>51835</v>
      </c>
      <c r="F252" s="37">
        <f>IF(B251&lt;'Умови та класичний графік'!$J$14,E252-D252+1,"")</f>
        <v>30</v>
      </c>
      <c r="G252" s="89">
        <f>IF(B251&lt;'Умови та класичний графік'!$J$14,J252+K252+L252,"")</f>
        <v>61700.91324200909</v>
      </c>
      <c r="H252" s="90"/>
      <c r="I252" s="32">
        <f>IF(B251&lt;'Умови та класичний графік'!$J$14,I251-J252,"")</f>
        <v>1041666.6666666648</v>
      </c>
      <c r="J252" s="32">
        <f>IF(B251&lt;'Умови та класичний графік'!$J$14,J251,"")</f>
        <v>41666.666666666664</v>
      </c>
      <c r="K252" s="32">
        <f>IF(B251&lt;'Умови та класичний графік'!$J$14,((I251*'Умови та класичний графік'!$J$23)/365)*F252,"")</f>
        <v>20034.246575342429</v>
      </c>
      <c r="L252" s="30">
        <f>IF(B251&lt;'Умови та класичний графік'!$J$14,SUM(M252:V252),"")</f>
        <v>0</v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>
        <f>IF(B251&lt;'Умови та класичний графік'!$J$14,XIRR($G$37:G252,$C$37:C252,0),"")</f>
        <v>0.4256390380859375</v>
      </c>
      <c r="X252" s="42"/>
      <c r="Y252" s="35"/>
    </row>
    <row r="253" spans="2:25" x14ac:dyDescent="0.2">
      <c r="B253" s="25">
        <v>216</v>
      </c>
      <c r="C253" s="36">
        <f>IF(B252&lt;'Умови та класичний графік'!$J$14,EDATE(C252,1),"")</f>
        <v>51867</v>
      </c>
      <c r="D253" s="36">
        <f>IF(B252&lt;'Умови та класичний графік'!$J$14,C252,"")</f>
        <v>51836</v>
      </c>
      <c r="E253" s="26">
        <f>IF(B252&lt;'Умови та класичний графік'!$J$14,C253-1,"")</f>
        <v>51866</v>
      </c>
      <c r="F253" s="37">
        <f>IF(B252&lt;'Умови та класичний графік'!$J$14,E253-D253+1,"")</f>
        <v>31</v>
      </c>
      <c r="G253" s="89">
        <f>IF(B252&lt;'Умови та класичний графік'!$J$14,J253+K253+L253,"")</f>
        <v>490572.48858447484</v>
      </c>
      <c r="H253" s="90"/>
      <c r="I253" s="32">
        <f>IF(B252&lt;'Умови та класичний графік'!$J$14,I252-J253,"")</f>
        <v>999999.99999999814</v>
      </c>
      <c r="J253" s="32">
        <f>IF(B252&lt;'Умови та класичний графік'!$J$14,J252,"")</f>
        <v>41666.666666666664</v>
      </c>
      <c r="K253" s="32">
        <f>IF(B252&lt;'Умови та класичний графік'!$J$14,((I252*'Умови та класичний графік'!$J$23)/365)*F253,"")</f>
        <v>19905.821917808182</v>
      </c>
      <c r="L253" s="30">
        <f>IF(B252&lt;'Умови та класичний графік'!$J$14,SUM(M253:V253),"")</f>
        <v>429000</v>
      </c>
      <c r="M253" s="38"/>
      <c r="N253" s="39"/>
      <c r="O253" s="39"/>
      <c r="P253" s="32"/>
      <c r="Q253" s="40"/>
      <c r="R253" s="40"/>
      <c r="S253" s="41"/>
      <c r="T253" s="41"/>
      <c r="U253" s="33">
        <f>IF(B252&lt;'Умови та класичний графік'!$J$14,('Умови та класичний графік'!$J$15*$N$21)+(I253*$N$22),"")</f>
        <v>429000</v>
      </c>
      <c r="V253" s="41"/>
      <c r="W253" s="43">
        <f>IF(B252&lt;'Умови та класичний графік'!$J$14,XIRR($G$37:G253,$C$37:C253,0),"")</f>
        <v>0.42569686035156262</v>
      </c>
      <c r="X253" s="42"/>
      <c r="Y253" s="35"/>
    </row>
    <row r="254" spans="2:25" x14ac:dyDescent="0.2">
      <c r="B254" s="25">
        <v>217</v>
      </c>
      <c r="C254" s="36">
        <f>IF(B253&lt;'Умови та класичний графік'!$J$14,EDATE(C253,1),"")</f>
        <v>51898</v>
      </c>
      <c r="D254" s="36">
        <f>IF(B253&lt;'Умови та класичний графік'!$J$14,C253,"")</f>
        <v>51867</v>
      </c>
      <c r="E254" s="26">
        <f>IF(B253&lt;'Умови та класичний графік'!$J$14,C254-1,"")</f>
        <v>51897</v>
      </c>
      <c r="F254" s="37">
        <f>IF(B253&lt;'Умови та класичний графік'!$J$14,E254-D254+1,"")</f>
        <v>31</v>
      </c>
      <c r="G254" s="89">
        <f>IF(B253&lt;'Умови та класичний графік'!$J$14,J254+K254+L254,"")</f>
        <v>60776.255707762524</v>
      </c>
      <c r="H254" s="90"/>
      <c r="I254" s="32">
        <f>IF(B253&lt;'Умови та класичний графік'!$J$14,I253-J254,"")</f>
        <v>958333.33333333151</v>
      </c>
      <c r="J254" s="32">
        <f>IF(B253&lt;'Умови та класичний графік'!$J$14,J253,"")</f>
        <v>41666.666666666664</v>
      </c>
      <c r="K254" s="32">
        <f>IF(B253&lt;'Умови та класичний графік'!$J$14,((I253*'Умови та класичний графік'!$J$23)/365)*F254,"")</f>
        <v>19109.589041095856</v>
      </c>
      <c r="L254" s="30">
        <f>IF(B253&lt;'Умови та класичний графік'!$J$14,SUM(M254:V254),"")</f>
        <v>0</v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>
        <f>IF(B253&lt;'Умови та класичний графік'!$J$14,XIRR($G$37:G254,$C$37:C254,0),"")</f>
        <v>0.42570380371093752</v>
      </c>
      <c r="X254" s="42"/>
      <c r="Y254" s="35"/>
    </row>
    <row r="255" spans="2:25" x14ac:dyDescent="0.2">
      <c r="B255" s="25">
        <v>218</v>
      </c>
      <c r="C255" s="36">
        <f>IF(B254&lt;'Умови та класичний графік'!$J$14,EDATE(C254,1),"")</f>
        <v>51926</v>
      </c>
      <c r="D255" s="36">
        <f>IF(B254&lt;'Умови та класичний графік'!$J$14,C254,"")</f>
        <v>51898</v>
      </c>
      <c r="E255" s="26">
        <f>IF(B254&lt;'Умови та класичний графік'!$J$14,C255-1,"")</f>
        <v>51925</v>
      </c>
      <c r="F255" s="37">
        <f>IF(B254&lt;'Умови та класичний графік'!$J$14,E255-D255+1,"")</f>
        <v>28</v>
      </c>
      <c r="G255" s="89">
        <f>IF(B254&lt;'Умови та класичний графік'!$J$14,J255+K255+L255,"")</f>
        <v>58207.762557077593</v>
      </c>
      <c r="H255" s="90"/>
      <c r="I255" s="32">
        <f>IF(B254&lt;'Умови та класичний графік'!$J$14,I254-J255,"")</f>
        <v>916666.66666666488</v>
      </c>
      <c r="J255" s="32">
        <f>IF(B254&lt;'Умови та класичний графік'!$J$14,J254,"")</f>
        <v>41666.666666666664</v>
      </c>
      <c r="K255" s="32">
        <f>IF(B254&lt;'Умови та класичний графік'!$J$14,((I254*'Умови та класичний графік'!$J$23)/365)*F255,"")</f>
        <v>16541.095890410928</v>
      </c>
      <c r="L255" s="30">
        <f>IF(B254&lt;'Умови та класичний графік'!$J$14,SUM(M255:V255),"")</f>
        <v>0</v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>
        <f>IF(B254&lt;'Умови та класичний графік'!$J$14,XIRR($G$37:G255,$C$37:C255,0),"")</f>
        <v>0.42571027832031261</v>
      </c>
      <c r="X255" s="42"/>
      <c r="Y255" s="35"/>
    </row>
    <row r="256" spans="2:25" x14ac:dyDescent="0.2">
      <c r="B256" s="25">
        <v>219</v>
      </c>
      <c r="C256" s="36">
        <f>IF(B255&lt;'Умови та класичний графік'!$J$14,EDATE(C255,1),"")</f>
        <v>51957</v>
      </c>
      <c r="D256" s="36">
        <f>IF(B255&lt;'Умови та класичний графік'!$J$14,C255,"")</f>
        <v>51926</v>
      </c>
      <c r="E256" s="26">
        <f>IF(B255&lt;'Умови та класичний графік'!$J$14,C256-1,"")</f>
        <v>51956</v>
      </c>
      <c r="F256" s="37">
        <f>IF(B255&lt;'Умови та класичний графік'!$J$14,E256-D256+1,"")</f>
        <v>31</v>
      </c>
      <c r="G256" s="89">
        <f>IF(B255&lt;'Умови та класичний графік'!$J$14,J256+K256+L256,"")</f>
        <v>59183.789954337859</v>
      </c>
      <c r="H256" s="90"/>
      <c r="I256" s="32">
        <f>IF(B255&lt;'Умови та класичний графік'!$J$14,I255-J256,"")</f>
        <v>874999.99999999825</v>
      </c>
      <c r="J256" s="32">
        <f>IF(B255&lt;'Умови та класичний графік'!$J$14,J255,"")</f>
        <v>41666.666666666664</v>
      </c>
      <c r="K256" s="32">
        <f>IF(B255&lt;'Умови та класичний графік'!$J$14,((I255*'Умови та класичний графік'!$J$23)/365)*F256,"")</f>
        <v>17517.123287671198</v>
      </c>
      <c r="L256" s="30">
        <f>IF(B255&lt;'Умови та класичний графік'!$J$14,SUM(M256:V256),"")</f>
        <v>0</v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>
        <f>IF(B255&lt;'Умови та класичний графік'!$J$14,XIRR($G$37:G256,$C$37:C256,0),"")</f>
        <v>0.42571666503906269</v>
      </c>
      <c r="X256" s="42"/>
      <c r="Y256" s="35"/>
    </row>
    <row r="257" spans="2:25" x14ac:dyDescent="0.2">
      <c r="B257" s="25">
        <v>220</v>
      </c>
      <c r="C257" s="36">
        <f>IF(B256&lt;'Умови та класичний графік'!$J$14,EDATE(C256,1),"")</f>
        <v>51987</v>
      </c>
      <c r="D257" s="36">
        <f>IF(B256&lt;'Умови та класичний графік'!$J$14,C256,"")</f>
        <v>51957</v>
      </c>
      <c r="E257" s="26">
        <f>IF(B256&lt;'Умови та класичний графік'!$J$14,C257-1,"")</f>
        <v>51986</v>
      </c>
      <c r="F257" s="37">
        <f>IF(B256&lt;'Умови та класичний графік'!$J$14,E257-D257+1,"")</f>
        <v>30</v>
      </c>
      <c r="G257" s="89">
        <f>IF(B256&lt;'Умови та класичний графік'!$J$14,J257+K257+L257,"")</f>
        <v>57848.173515981704</v>
      </c>
      <c r="H257" s="90"/>
      <c r="I257" s="32">
        <f>IF(B256&lt;'Умови та класичний графік'!$J$14,I256-J257,"")</f>
        <v>833333.33333333163</v>
      </c>
      <c r="J257" s="32">
        <f>IF(B256&lt;'Умови та класичний графік'!$J$14,J256,"")</f>
        <v>41666.666666666664</v>
      </c>
      <c r="K257" s="32">
        <f>IF(B256&lt;'Умови та класичний графік'!$J$14,((I256*'Умови та класичний графік'!$J$23)/365)*F257,"")</f>
        <v>16181.506849315037</v>
      </c>
      <c r="L257" s="30">
        <f>IF(B256&lt;'Умови та класичний графік'!$J$14,SUM(M257:V257),"")</f>
        <v>0</v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>
        <f>IF(B256&lt;'Умови та класичний графік'!$J$14,XIRR($G$37:G257,$C$37:C257,0),"")</f>
        <v>0.42572271972656262</v>
      </c>
      <c r="X257" s="42"/>
      <c r="Y257" s="35"/>
    </row>
    <row r="258" spans="2:25" x14ac:dyDescent="0.2">
      <c r="B258" s="25">
        <v>221</v>
      </c>
      <c r="C258" s="36">
        <f>IF(B257&lt;'Умови та класичний графік'!$J$14,EDATE(C257,1),"")</f>
        <v>52018</v>
      </c>
      <c r="D258" s="36">
        <f>IF(B257&lt;'Умови та класичний графік'!$J$14,C257,"")</f>
        <v>51987</v>
      </c>
      <c r="E258" s="26">
        <f>IF(B257&lt;'Умови та класичний графік'!$J$14,C258-1,"")</f>
        <v>52017</v>
      </c>
      <c r="F258" s="37">
        <f>IF(B257&lt;'Умови та класичний графік'!$J$14,E258-D258+1,"")</f>
        <v>31</v>
      </c>
      <c r="G258" s="89">
        <f>IF(B257&lt;'Умови та класичний графік'!$J$14,J258+K258+L258,"")</f>
        <v>57591.324200913208</v>
      </c>
      <c r="H258" s="90"/>
      <c r="I258" s="32">
        <f>IF(B257&lt;'Умови та класичний графік'!$J$14,I257-J258,"")</f>
        <v>791666.666666665</v>
      </c>
      <c r="J258" s="32">
        <f>IF(B257&lt;'Умови та класичний графік'!$J$14,J257,"")</f>
        <v>41666.666666666664</v>
      </c>
      <c r="K258" s="32">
        <f>IF(B257&lt;'Умови та класичний графік'!$J$14,((I257*'Умови та класичний графік'!$J$23)/365)*F258,"")</f>
        <v>15924.657534246542</v>
      </c>
      <c r="L258" s="30">
        <f>IF(B257&lt;'Умови та класичний графік'!$J$14,SUM(M258:V258),"")</f>
        <v>0</v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>
        <f>IF(B257&lt;'Умови та класичний графік'!$J$14,XIRR($G$37:G258,$C$37:C258,0),"")</f>
        <v>0.42572857910156259</v>
      </c>
      <c r="X258" s="42"/>
      <c r="Y258" s="35"/>
    </row>
    <row r="259" spans="2:25" x14ac:dyDescent="0.2">
      <c r="B259" s="25">
        <v>222</v>
      </c>
      <c r="C259" s="36">
        <f>IF(B258&lt;'Умови та класичний графік'!$J$14,EDATE(C258,1),"")</f>
        <v>52048</v>
      </c>
      <c r="D259" s="36">
        <f>IF(B258&lt;'Умови та класичний графік'!$J$14,C258,"")</f>
        <v>52018</v>
      </c>
      <c r="E259" s="26">
        <f>IF(B258&lt;'Умови та класичний графік'!$J$14,C259-1,"")</f>
        <v>52047</v>
      </c>
      <c r="F259" s="37">
        <f>IF(B258&lt;'Умови та класичний графік'!$J$14,E259-D259+1,"")</f>
        <v>30</v>
      </c>
      <c r="G259" s="89">
        <f>IF(B258&lt;'Умови та класичний графік'!$J$14,J259+K259+L259,"")</f>
        <v>56307.077625570746</v>
      </c>
      <c r="H259" s="90"/>
      <c r="I259" s="32">
        <f>IF(B258&lt;'Умови та класичний графік'!$J$14,I258-J259,"")</f>
        <v>749999.99999999837</v>
      </c>
      <c r="J259" s="32">
        <f>IF(B258&lt;'Умови та класичний графік'!$J$14,J258,"")</f>
        <v>41666.666666666664</v>
      </c>
      <c r="K259" s="32">
        <f>IF(B258&lt;'Умови та класичний графік'!$J$14,((I258*'Умови та класичний графік'!$J$23)/365)*F259,"")</f>
        <v>14640.410958904078</v>
      </c>
      <c r="L259" s="30">
        <f>IF(B258&lt;'Умови та класичний графік'!$J$14,SUM(M259:V259),"")</f>
        <v>0</v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>
        <f>IF(B258&lt;'Умови та класичний графік'!$J$14,XIRR($G$37:G259,$C$37:C259,0),"")</f>
        <v>0.42573413574218766</v>
      </c>
      <c r="X259" s="42"/>
      <c r="Y259" s="35"/>
    </row>
    <row r="260" spans="2:25" x14ac:dyDescent="0.2">
      <c r="B260" s="25">
        <v>223</v>
      </c>
      <c r="C260" s="36">
        <f>IF(B259&lt;'Умови та класичний графік'!$J$14,EDATE(C259,1),"")</f>
        <v>52079</v>
      </c>
      <c r="D260" s="36">
        <f>IF(B259&lt;'Умови та класичний графік'!$J$14,C259,"")</f>
        <v>52048</v>
      </c>
      <c r="E260" s="26">
        <f>IF(B259&lt;'Умови та класичний графік'!$J$14,C260-1,"")</f>
        <v>52078</v>
      </c>
      <c r="F260" s="37">
        <f>IF(B259&lt;'Умови та класичний графік'!$J$14,E260-D260+1,"")</f>
        <v>31</v>
      </c>
      <c r="G260" s="89">
        <f>IF(B259&lt;'Умови та класичний графік'!$J$14,J260+K260+L260,"")</f>
        <v>55998.85844748855</v>
      </c>
      <c r="H260" s="90"/>
      <c r="I260" s="32">
        <f>IF(B259&lt;'Умови та класичний графік'!$J$14,I259-J260,"")</f>
        <v>708333.33333333174</v>
      </c>
      <c r="J260" s="32">
        <f>IF(B259&lt;'Умови та класичний графік'!$J$14,J259,"")</f>
        <v>41666.666666666664</v>
      </c>
      <c r="K260" s="32">
        <f>IF(B259&lt;'Умови та класичний графік'!$J$14,((I259*'Умови та класичний графік'!$J$23)/365)*F260,"")</f>
        <v>14332.191780821888</v>
      </c>
      <c r="L260" s="30">
        <f>IF(B259&lt;'Умови та класичний графік'!$J$14,SUM(M260:V260),"")</f>
        <v>0</v>
      </c>
      <c r="M260" s="38"/>
      <c r="N260" s="39"/>
      <c r="O260" s="39"/>
      <c r="P260" s="32"/>
      <c r="Q260" s="40"/>
      <c r="R260" s="40"/>
      <c r="S260" s="41"/>
      <c r="T260" s="41"/>
      <c r="U260" s="33"/>
      <c r="V260" s="41"/>
      <c r="W260" s="43">
        <f>IF(B259&lt;'Умови та класичний графік'!$J$14,XIRR($G$37:G260,$C$37:C260,0),"")</f>
        <v>0.42573949707031267</v>
      </c>
      <c r="X260" s="42"/>
      <c r="Y260" s="35"/>
    </row>
    <row r="261" spans="2:25" x14ac:dyDescent="0.2">
      <c r="B261" s="25">
        <v>224</v>
      </c>
      <c r="C261" s="36">
        <f>IF(B260&lt;'Умови та класичний графік'!$J$14,EDATE(C260,1),"")</f>
        <v>52110</v>
      </c>
      <c r="D261" s="36">
        <f>IF(B260&lt;'Умови та класичний графік'!$J$14,C260,"")</f>
        <v>52079</v>
      </c>
      <c r="E261" s="26">
        <f>IF(B260&lt;'Умови та класичний графік'!$J$14,C261-1,"")</f>
        <v>52109</v>
      </c>
      <c r="F261" s="37">
        <f>IF(B260&lt;'Умови та класичний графік'!$J$14,E261-D261+1,"")</f>
        <v>31</v>
      </c>
      <c r="G261" s="89">
        <f>IF(B260&lt;'Умови та класичний графік'!$J$14,J261+K261+L261,"")</f>
        <v>55202.625570776225</v>
      </c>
      <c r="H261" s="90"/>
      <c r="I261" s="32">
        <f>IF(B260&lt;'Умови та класичний графік'!$J$14,I260-J261,"")</f>
        <v>666666.66666666511</v>
      </c>
      <c r="J261" s="32">
        <f>IF(B260&lt;'Умови та класичний графік'!$J$14,J260,"")</f>
        <v>41666.666666666664</v>
      </c>
      <c r="K261" s="32">
        <f>IF(B260&lt;'Умови та класичний графік'!$J$14,((I260*'Умови та класичний графік'!$J$23)/365)*F261,"")</f>
        <v>13535.958904109559</v>
      </c>
      <c r="L261" s="30">
        <f>IF(B260&lt;'Умови та класичний графік'!$J$14,SUM(M261:V261),"")</f>
        <v>0</v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>
        <f>IF(B260&lt;'Умови та класичний графік'!$J$14,XIRR($G$37:G261,$C$37:C261,0),"")</f>
        <v>0.42574463378906258</v>
      </c>
      <c r="X261" s="42"/>
      <c r="Y261" s="35"/>
    </row>
    <row r="262" spans="2:25" x14ac:dyDescent="0.2">
      <c r="B262" s="25">
        <v>225</v>
      </c>
      <c r="C262" s="36">
        <f>IF(B261&lt;'Умови та класичний графік'!$J$14,EDATE(C261,1),"")</f>
        <v>52140</v>
      </c>
      <c r="D262" s="36">
        <f>IF(B261&lt;'Умови та класичний графік'!$J$14,C261,"")</f>
        <v>52110</v>
      </c>
      <c r="E262" s="26">
        <f>IF(B261&lt;'Умови та класичний графік'!$J$14,C262-1,"")</f>
        <v>52139</v>
      </c>
      <c r="F262" s="37">
        <f>IF(B261&lt;'Умови та класичний графік'!$J$14,E262-D262+1,"")</f>
        <v>30</v>
      </c>
      <c r="G262" s="89">
        <f>IF(B261&lt;'Умови та класичний графік'!$J$14,J262+K262+L262,"")</f>
        <v>53995.43378995431</v>
      </c>
      <c r="H262" s="90"/>
      <c r="I262" s="32">
        <f>IF(B261&lt;'Умови та класичний графік'!$J$14,I261-J262,"")</f>
        <v>624999.99999999849</v>
      </c>
      <c r="J262" s="32">
        <f>IF(B261&lt;'Умови та класичний графік'!$J$14,J261,"")</f>
        <v>41666.666666666664</v>
      </c>
      <c r="K262" s="32">
        <f>IF(B261&lt;'Умови та класичний графік'!$J$14,((I261*'Умови та класичний графік'!$J$23)/365)*F262,"")</f>
        <v>12328.767123287644</v>
      </c>
      <c r="L262" s="30">
        <f>IF(B261&lt;'Умови та класичний графік'!$J$14,SUM(M262:V262),"")</f>
        <v>0</v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>
        <f>IF(B261&lt;'Умови та класичний графік'!$J$14,XIRR($G$37:G262,$C$37:C262,0),"")</f>
        <v>0.4257495068359376</v>
      </c>
      <c r="X262" s="42"/>
      <c r="Y262" s="35"/>
    </row>
    <row r="263" spans="2:25" x14ac:dyDescent="0.2">
      <c r="B263" s="25">
        <v>226</v>
      </c>
      <c r="C263" s="36">
        <f>IF(B262&lt;'Умови та класичний графік'!$J$14,EDATE(C262,1),"")</f>
        <v>52171</v>
      </c>
      <c r="D263" s="36">
        <f>IF(B262&lt;'Умови та класичний графік'!$J$14,C262,"")</f>
        <v>52140</v>
      </c>
      <c r="E263" s="26">
        <f>IF(B262&lt;'Умови та класичний графік'!$J$14,C263-1,"")</f>
        <v>52170</v>
      </c>
      <c r="F263" s="37">
        <f>IF(B262&lt;'Умови та класичний графік'!$J$14,E263-D263+1,"")</f>
        <v>31</v>
      </c>
      <c r="G263" s="89">
        <f>IF(B262&lt;'Умови та класичний графік'!$J$14,J263+K263+L263,"")</f>
        <v>53610.159817351567</v>
      </c>
      <c r="H263" s="90"/>
      <c r="I263" s="32">
        <f>IF(B262&lt;'Умови та класичний графік'!$J$14,I262-J263,"")</f>
        <v>583333.33333333186</v>
      </c>
      <c r="J263" s="32">
        <f>IF(B262&lt;'Умови та класичний графік'!$J$14,J262,"")</f>
        <v>41666.666666666664</v>
      </c>
      <c r="K263" s="32">
        <f>IF(B262&lt;'Умови та класичний графік'!$J$14,((I262*'Умови та класичний графік'!$J$23)/365)*F263,"")</f>
        <v>11943.493150684901</v>
      </c>
      <c r="L263" s="30">
        <f>IF(B262&lt;'Умови та класичний графік'!$J$14,SUM(M263:V263),"")</f>
        <v>0</v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>
        <f>IF(B262&lt;'Умови та класичний графік'!$J$14,XIRR($G$37:G263,$C$37:C263,0),"")</f>
        <v>0.42575419433593764</v>
      </c>
      <c r="X263" s="42"/>
      <c r="Y263" s="35"/>
    </row>
    <row r="264" spans="2:25" x14ac:dyDescent="0.2">
      <c r="B264" s="25">
        <v>227</v>
      </c>
      <c r="C264" s="36">
        <f>IF(B263&lt;'Умови та класичний графік'!$J$14,EDATE(C263,1),"")</f>
        <v>52201</v>
      </c>
      <c r="D264" s="36">
        <f>IF(B263&lt;'Умови та класичний графік'!$J$14,C263,"")</f>
        <v>52171</v>
      </c>
      <c r="E264" s="26">
        <f>IF(B263&lt;'Умови та класичний графік'!$J$14,C264-1,"")</f>
        <v>52200</v>
      </c>
      <c r="F264" s="37">
        <f>IF(B263&lt;'Умови та класичний графік'!$J$14,E264-D264+1,"")</f>
        <v>30</v>
      </c>
      <c r="G264" s="89">
        <f>IF(B263&lt;'Умови та класичний графік'!$J$14,J264+K264+L264,"")</f>
        <v>52454.337899543352</v>
      </c>
      <c r="H264" s="90"/>
      <c r="I264" s="32">
        <f>IF(B263&lt;'Умови та класичний графік'!$J$14,I263-J264,"")</f>
        <v>541666.66666666523</v>
      </c>
      <c r="J264" s="32">
        <f>IF(B263&lt;'Умови та класичний графік'!$J$14,J263,"")</f>
        <v>41666.666666666664</v>
      </c>
      <c r="K264" s="32">
        <f>IF(B263&lt;'Умови та класичний графік'!$J$14,((I263*'Умови та класичний графік'!$J$23)/365)*F264,"")</f>
        <v>10787.671232876686</v>
      </c>
      <c r="L264" s="30">
        <f>IF(B263&lt;'Умови та класичний графік'!$J$14,SUM(M264:V264),"")</f>
        <v>0</v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>
        <f>IF(B263&lt;'Умови та класичний графік'!$J$14,XIRR($G$37:G264,$C$37:C264,0),"")</f>
        <v>0.42575865722656259</v>
      </c>
      <c r="X264" s="42"/>
      <c r="Y264" s="35"/>
    </row>
    <row r="265" spans="2:25" x14ac:dyDescent="0.2">
      <c r="B265" s="25">
        <v>228</v>
      </c>
      <c r="C265" s="36">
        <f>IF(B264&lt;'Умови та класичний графік'!$J$14,EDATE(C264,1),"")</f>
        <v>52232</v>
      </c>
      <c r="D265" s="36">
        <f>IF(B264&lt;'Умови та класичний графік'!$J$14,C264,"")</f>
        <v>52201</v>
      </c>
      <c r="E265" s="26">
        <f>IF(B264&lt;'Умови та класичний графік'!$J$14,C265-1,"")</f>
        <v>52231</v>
      </c>
      <c r="F265" s="37">
        <f>IF(B264&lt;'Умови та класичний графік'!$J$14,E265-D265+1,"")</f>
        <v>31</v>
      </c>
      <c r="G265" s="89">
        <f>IF(B264&lt;'Умови та класичний графік'!$J$14,J265+K265+L265,"")</f>
        <v>479517.69406392693</v>
      </c>
      <c r="H265" s="90"/>
      <c r="I265" s="32">
        <f>IF(B264&lt;'Умови та класичний графік'!$J$14,I264-J265,"")</f>
        <v>499999.99999999854</v>
      </c>
      <c r="J265" s="32">
        <f>IF(B264&lt;'Умови та класичний графік'!$J$14,J264,"")</f>
        <v>41666.666666666664</v>
      </c>
      <c r="K265" s="32">
        <f>IF(B264&lt;'Умови та класичний графік'!$J$14,((I264*'Умови та класичний графік'!$J$23)/365)*F265,"")</f>
        <v>10351.027397260246</v>
      </c>
      <c r="L265" s="30">
        <f>IF(B264&lt;'Умови та класичний графік'!$J$14,SUM(M265:V265),"")</f>
        <v>427500</v>
      </c>
      <c r="M265" s="38"/>
      <c r="N265" s="39"/>
      <c r="O265" s="39"/>
      <c r="P265" s="32"/>
      <c r="Q265" s="40"/>
      <c r="R265" s="40"/>
      <c r="S265" s="41"/>
      <c r="T265" s="41"/>
      <c r="U265" s="33">
        <f>IF(B264&lt;'Умови та класичний графік'!$J$14,('Умови та класичний графік'!$J$15*$N$21)+(I265*$N$22),"")</f>
        <v>427500</v>
      </c>
      <c r="V265" s="41"/>
      <c r="W265" s="43">
        <f>IF(B264&lt;'Умови та класичний графік'!$J$14,XIRR($G$37:G265,$C$37:C265,0),"")</f>
        <v>0.42579819824218756</v>
      </c>
      <c r="X265" s="42"/>
      <c r="Y265" s="35"/>
    </row>
    <row r="266" spans="2:25" x14ac:dyDescent="0.2">
      <c r="B266" s="25">
        <v>229</v>
      </c>
      <c r="C266" s="36">
        <f>IF(B265&lt;'Умови та класичний графік'!$J$14,EDATE(C265,1),"")</f>
        <v>52263</v>
      </c>
      <c r="D266" s="36">
        <f>IF(B265&lt;'Умови та класичний графік'!$J$14,C265,"")</f>
        <v>52232</v>
      </c>
      <c r="E266" s="26">
        <f>IF(B265&lt;'Умови та класичний графік'!$J$14,C266-1,"")</f>
        <v>52262</v>
      </c>
      <c r="F266" s="37">
        <f>IF(B265&lt;'Умови та класичний графік'!$J$14,E266-D266+1,"")</f>
        <v>31</v>
      </c>
      <c r="G266" s="89">
        <f>IF(B265&lt;'Умови та класичний графік'!$J$14,J266+K266+L266,"")</f>
        <v>51221.461187214583</v>
      </c>
      <c r="H266" s="90"/>
      <c r="I266" s="32">
        <f>IF(B265&lt;'Умови та класичний графік'!$J$14,I265-J266,"")</f>
        <v>458333.33333333186</v>
      </c>
      <c r="J266" s="32">
        <f>IF(B265&lt;'Умови та класичний графік'!$J$14,J265,"")</f>
        <v>41666.666666666664</v>
      </c>
      <c r="K266" s="32">
        <f>IF(B265&lt;'Умови та класичний графік'!$J$14,((I265*'Умови та класичний графік'!$J$23)/365)*F266,"")</f>
        <v>9554.7945205479191</v>
      </c>
      <c r="L266" s="30">
        <f>IF(B265&lt;'Умови та класичний графік'!$J$14,SUM(M266:V266),"")</f>
        <v>0</v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>
        <f>IF(B265&lt;'Умови та класичний графік'!$J$14,XIRR($G$37:G266,$C$37:C266,0),"")</f>
        <v>0.42580229980468765</v>
      </c>
      <c r="X266" s="42"/>
      <c r="Y266" s="35"/>
    </row>
    <row r="267" spans="2:25" x14ac:dyDescent="0.2">
      <c r="B267" s="25">
        <v>230</v>
      </c>
      <c r="C267" s="36">
        <f>IF(B266&lt;'Умови та класичний графік'!$J$14,EDATE(C266,1),"")</f>
        <v>52291</v>
      </c>
      <c r="D267" s="36">
        <f>IF(B266&lt;'Умови та класичний графік'!$J$14,C266,"")</f>
        <v>52263</v>
      </c>
      <c r="E267" s="26">
        <f>IF(B266&lt;'Умови та класичний графік'!$J$14,C267-1,"")</f>
        <v>52290</v>
      </c>
      <c r="F267" s="37">
        <f>IF(B266&lt;'Умови та класичний графік'!$J$14,E267-D267+1,"")</f>
        <v>28</v>
      </c>
      <c r="G267" s="89">
        <f>IF(B266&lt;'Умови та класичний графік'!$J$14,J267+K267+L267,"")</f>
        <v>49577.625570776232</v>
      </c>
      <c r="H267" s="90"/>
      <c r="I267" s="32">
        <f>IF(B266&lt;'Умови та класичний графік'!$J$14,I266-J267,"")</f>
        <v>416666.66666666517</v>
      </c>
      <c r="J267" s="32">
        <f>IF(B266&lt;'Умови та класичний графік'!$J$14,J266,"")</f>
        <v>41666.666666666664</v>
      </c>
      <c r="K267" s="32">
        <f>IF(B266&lt;'Умови та класичний графік'!$J$14,((I266*'Умови та класичний графік'!$J$23)/365)*F267,"")</f>
        <v>7910.9589041095642</v>
      </c>
      <c r="L267" s="30">
        <f>IF(B266&lt;'Умови та класичний графік'!$J$14,SUM(M267:V267),"")</f>
        <v>0</v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>
        <f>IF(B266&lt;'Умови та класичний графік'!$J$14,XIRR($G$37:G267,$C$37:C267,0),"")</f>
        <v>0.42580615722656268</v>
      </c>
      <c r="X267" s="42"/>
      <c r="Y267" s="35"/>
    </row>
    <row r="268" spans="2:25" x14ac:dyDescent="0.2">
      <c r="B268" s="25">
        <v>231</v>
      </c>
      <c r="C268" s="36">
        <f>IF(B267&lt;'Умови та класичний графік'!$J$14,EDATE(C267,1),"")</f>
        <v>52322</v>
      </c>
      <c r="D268" s="36">
        <f>IF(B267&lt;'Умови та класичний графік'!$J$14,C267,"")</f>
        <v>52291</v>
      </c>
      <c r="E268" s="26">
        <f>IF(B267&lt;'Умови та класичний графік'!$J$14,C268-1,"")</f>
        <v>52321</v>
      </c>
      <c r="F268" s="37">
        <f>IF(B267&lt;'Умови та класичний графік'!$J$14,E268-D268+1,"")</f>
        <v>31</v>
      </c>
      <c r="G268" s="89">
        <f>IF(B267&lt;'Умови та класичний графік'!$J$14,J268+K268+L268,"")</f>
        <v>49628.995433789925</v>
      </c>
      <c r="H268" s="90"/>
      <c r="I268" s="32">
        <f>IF(B267&lt;'Умови та класичний графік'!$J$14,I267-J268,"")</f>
        <v>374999.99999999849</v>
      </c>
      <c r="J268" s="32">
        <f>IF(B267&lt;'Умови та класичний графік'!$J$14,J267,"")</f>
        <v>41666.666666666664</v>
      </c>
      <c r="K268" s="32">
        <f>IF(B267&lt;'Умови та класичний графік'!$J$14,((I267*'Умови та класичний графік'!$J$23)/365)*F268,"")</f>
        <v>7962.3287671232583</v>
      </c>
      <c r="L268" s="30">
        <f>IF(B267&lt;'Умови та класичний графік'!$J$14,SUM(M268:V268),"")</f>
        <v>0</v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>
        <f>IF(B267&lt;'Умови та класичний графік'!$J$14,XIRR($G$37:G268,$C$37:C268,0),"")</f>
        <v>0.42580990722656265</v>
      </c>
      <c r="X268" s="42"/>
      <c r="Y268" s="35"/>
    </row>
    <row r="269" spans="2:25" x14ac:dyDescent="0.2">
      <c r="B269" s="25">
        <v>232</v>
      </c>
      <c r="C269" s="36">
        <f>IF(B268&lt;'Умови та класичний графік'!$J$14,EDATE(C268,1),"")</f>
        <v>52352</v>
      </c>
      <c r="D269" s="36">
        <f>IF(B268&lt;'Умови та класичний графік'!$J$14,C268,"")</f>
        <v>52322</v>
      </c>
      <c r="E269" s="26">
        <f>IF(B268&lt;'Умови та класичний графік'!$J$14,C269-1,"")</f>
        <v>52351</v>
      </c>
      <c r="F269" s="37">
        <f>IF(B268&lt;'Умови та класичний графік'!$J$14,E269-D269+1,"")</f>
        <v>30</v>
      </c>
      <c r="G269" s="89">
        <f>IF(B268&lt;'Умови та класичний графік'!$J$14,J269+K269+L269,"")</f>
        <v>48601.598173515951</v>
      </c>
      <c r="H269" s="90"/>
      <c r="I269" s="32">
        <f>IF(B268&lt;'Умови та класичний графік'!$J$14,I268-J269,"")</f>
        <v>333333.3333333318</v>
      </c>
      <c r="J269" s="32">
        <f>IF(B268&lt;'Умови та класичний графік'!$J$14,J268,"")</f>
        <v>41666.666666666664</v>
      </c>
      <c r="K269" s="32">
        <f>IF(B268&lt;'Умови та класичний графік'!$J$14,((I268*'Умови та класичний графік'!$J$23)/365)*F269,"")</f>
        <v>6934.9315068492879</v>
      </c>
      <c r="L269" s="30">
        <f>IF(B268&lt;'Умови та класичний графік'!$J$14,SUM(M269:V269),"")</f>
        <v>0</v>
      </c>
      <c r="M269" s="38"/>
      <c r="N269" s="39"/>
      <c r="O269" s="39"/>
      <c r="P269" s="32"/>
      <c r="Q269" s="40"/>
      <c r="R269" s="40"/>
      <c r="S269" s="41"/>
      <c r="T269" s="41"/>
      <c r="U269" s="41"/>
      <c r="V269" s="41"/>
      <c r="W269" s="43">
        <f>IF(B268&lt;'Умови та класичний графік'!$J$14,XIRR($G$37:G269,$C$37:C269,0),"")</f>
        <v>0.42581347167968753</v>
      </c>
      <c r="X269" s="42"/>
      <c r="Y269" s="35"/>
    </row>
    <row r="270" spans="2:25" x14ac:dyDescent="0.2">
      <c r="B270" s="47">
        <v>233</v>
      </c>
      <c r="C270" s="36">
        <f>IF(B269&lt;'Умови та класичний графік'!$J$14,EDATE(C269,1),"")</f>
        <v>52383</v>
      </c>
      <c r="D270" s="36">
        <f>IF(B269&lt;'Умови та класичний графік'!$J$14,C269,"")</f>
        <v>52352</v>
      </c>
      <c r="E270" s="26">
        <f>IF(B269&lt;'Умови та класичний графік'!$J$14,C270-1,"")</f>
        <v>52382</v>
      </c>
      <c r="F270" s="37">
        <f>IF(B269&lt;'Умови та класичний графік'!$J$14,E270-D270+1,"")</f>
        <v>31</v>
      </c>
      <c r="G270" s="89">
        <f>IF(B269&lt;'Умови та класичний графік'!$J$14,J270+K270+L270,"")</f>
        <v>48036.529680365267</v>
      </c>
      <c r="H270" s="90"/>
      <c r="I270" s="32">
        <f>IF(B269&lt;'Умови та класичний графік'!$J$14,I269-J270,"")</f>
        <v>291666.66666666511</v>
      </c>
      <c r="J270" s="32">
        <f>IF(B269&lt;'Умови та класичний графік'!$J$14,J269,"")</f>
        <v>41666.666666666664</v>
      </c>
      <c r="K270" s="32">
        <f>IF(B269&lt;'Умови та класичний графік'!$J$14,((I269*'Умови та класичний графік'!$J$23)/365)*F270,"")</f>
        <v>6369.8630136986003</v>
      </c>
      <c r="L270" s="30">
        <f>IF(B269&lt;'Умови та класичний графік'!$J$14,SUM(M270:V270),"")</f>
        <v>0</v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>
        <f>IF(B269&lt;'Умови та класичний графік'!$J$14,XIRR($G$37:G270,$C$37:C270,0),"")</f>
        <v>0.42581688964843756</v>
      </c>
      <c r="X270" s="42"/>
      <c r="Y270" s="35"/>
    </row>
    <row r="271" spans="2:25" x14ac:dyDescent="0.2">
      <c r="B271" s="47">
        <v>234</v>
      </c>
      <c r="C271" s="36">
        <f>IF(B270&lt;'Умови та класичний графік'!$J$14,EDATE(C270,1),"")</f>
        <v>52413</v>
      </c>
      <c r="D271" s="36">
        <f>IF(B270&lt;'Умови та класичний графік'!$J$14,C270,"")</f>
        <v>52383</v>
      </c>
      <c r="E271" s="26">
        <f>IF(B270&lt;'Умови та класичний графік'!$J$14,C271-1,"")</f>
        <v>52412</v>
      </c>
      <c r="F271" s="37">
        <f>IF(B270&lt;'Умови та класичний графік'!$J$14,E271-D271+1,"")</f>
        <v>30</v>
      </c>
      <c r="G271" s="89">
        <f>IF(B270&lt;'Умови та класичний графік'!$J$14,J271+K271+L271,"")</f>
        <v>47060.502283104994</v>
      </c>
      <c r="H271" s="90"/>
      <c r="I271" s="32">
        <f>IF(B270&lt;'Умови та класичний графік'!$J$14,I270-J271,"")</f>
        <v>249999.99999999846</v>
      </c>
      <c r="J271" s="32">
        <f>IF(B270&lt;'Умови та класичний графік'!$J$14,J270,"")</f>
        <v>41666.666666666664</v>
      </c>
      <c r="K271" s="32">
        <f>IF(B270&lt;'Умови та класичний графік'!$J$14,((I270*'Умови та класичний графік'!$J$23)/365)*F271,"")</f>
        <v>5393.8356164383276</v>
      </c>
      <c r="L271" s="30">
        <f>IF(B270&lt;'Умови та класичний графік'!$J$14,SUM(M271:V271),"")</f>
        <v>0</v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>
        <f>IF(B270&lt;'Умови та класичний графік'!$J$14,XIRR($G$37:G271,$C$37:C271,0),"")</f>
        <v>0.42582014160156256</v>
      </c>
      <c r="X271" s="42"/>
      <c r="Y271" s="35"/>
    </row>
    <row r="272" spans="2:25" x14ac:dyDescent="0.2">
      <c r="B272" s="47">
        <v>235</v>
      </c>
      <c r="C272" s="36">
        <f>IF(B271&lt;'Умови та класичний графік'!$J$14,EDATE(C271,1),"")</f>
        <v>52444</v>
      </c>
      <c r="D272" s="36">
        <f>IF(B271&lt;'Умови та класичний графік'!$J$14,C271,"")</f>
        <v>52413</v>
      </c>
      <c r="E272" s="26">
        <f>IF(B271&lt;'Умови та класичний графік'!$J$14,C272-1,"")</f>
        <v>52443</v>
      </c>
      <c r="F272" s="37">
        <f>IF(B271&lt;'Умови та класичний графік'!$J$14,E272-D272+1,"")</f>
        <v>31</v>
      </c>
      <c r="G272" s="89">
        <f>IF(B271&lt;'Умови та класичний графік'!$J$14,J272+K272+L272,"")</f>
        <v>46444.063926940609</v>
      </c>
      <c r="H272" s="90"/>
      <c r="I272" s="32">
        <f>IF(B271&lt;'Умови та класичний графік'!$J$14,I271-J272,"")</f>
        <v>208333.3333333318</v>
      </c>
      <c r="J272" s="32">
        <f>IF(B271&lt;'Умови та класичний графік'!$J$14,J271,"")</f>
        <v>41666.666666666664</v>
      </c>
      <c r="K272" s="32">
        <f>IF(B271&lt;'Умови та класичний графік'!$J$14,((I271*'Умови та класичний графік'!$J$23)/365)*F272,"")</f>
        <v>4777.3972602739423</v>
      </c>
      <c r="L272" s="30">
        <f>IF(B271&lt;'Умови та класичний графік'!$J$14,SUM(M272:V272),"")</f>
        <v>0</v>
      </c>
      <c r="M272" s="38"/>
      <c r="N272" s="39"/>
      <c r="O272" s="39"/>
      <c r="P272" s="48"/>
      <c r="Q272" s="40"/>
      <c r="R272" s="40"/>
      <c r="S272" s="41"/>
      <c r="T272" s="41"/>
      <c r="U272" s="33"/>
      <c r="V272" s="41"/>
      <c r="W272" s="43">
        <f>IF(B271&lt;'Умови та класичний графік'!$J$14,XIRR($G$37:G272,$C$37:C272,0),"")</f>
        <v>0.42582325683593758</v>
      </c>
      <c r="X272" s="42"/>
      <c r="Y272" s="35"/>
    </row>
    <row r="273" spans="2:25" x14ac:dyDescent="0.2">
      <c r="B273" s="47">
        <v>236</v>
      </c>
      <c r="C273" s="36">
        <f>IF(B272&lt;'Умови та класичний графік'!$J$14,EDATE(C272,1),"")</f>
        <v>52475</v>
      </c>
      <c r="D273" s="36">
        <f>IF(B272&lt;'Умови та класичний графік'!$J$14,C272,"")</f>
        <v>52444</v>
      </c>
      <c r="E273" s="26">
        <f>IF(B272&lt;'Умови та класичний графік'!$J$14,C273-1,"")</f>
        <v>52474</v>
      </c>
      <c r="F273" s="37">
        <f>IF(B272&lt;'Умови та класичний графік'!$J$14,E273-D273+1,"")</f>
        <v>31</v>
      </c>
      <c r="G273" s="89">
        <f>IF(B272&lt;'Умови та класичний графік'!$J$14,J273+K273+L273,"")</f>
        <v>45647.831050228277</v>
      </c>
      <c r="H273" s="90"/>
      <c r="I273" s="32">
        <f>IF(B272&lt;'Умови та класичний графік'!$J$14,I272-J273,"")</f>
        <v>166666.66666666514</v>
      </c>
      <c r="J273" s="32">
        <f>IF(B272&lt;'Умови та класичний графік'!$J$14,J272,"")</f>
        <v>41666.666666666664</v>
      </c>
      <c r="K273" s="32">
        <f>IF(B272&lt;'Умови та класичний графік'!$J$14,((I272*'Умови та класичний графік'!$J$23)/365)*F273,"")</f>
        <v>3981.1643835616142</v>
      </c>
      <c r="L273" s="30">
        <f>IF(B272&lt;'Умови та класичний графік'!$J$14,SUM(M273:V273),"")</f>
        <v>0</v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>
        <f>IF(B272&lt;'Умови та класичний графік'!$J$14,XIRR($G$37:G273,$C$37:C273,0),"")</f>
        <v>0.42582622558593763</v>
      </c>
      <c r="X273" s="42"/>
      <c r="Y273" s="35"/>
    </row>
    <row r="274" spans="2:25" x14ac:dyDescent="0.2">
      <c r="B274" s="47">
        <v>237</v>
      </c>
      <c r="C274" s="36">
        <f>IF(B273&lt;'Умови та класичний графік'!$J$14,EDATE(C273,1),"")</f>
        <v>52505</v>
      </c>
      <c r="D274" s="36">
        <f>IF(B273&lt;'Умови та класичний графік'!$J$14,C273,"")</f>
        <v>52475</v>
      </c>
      <c r="E274" s="26">
        <f>IF(B273&lt;'Умови та класичний графік'!$J$14,C274-1,"")</f>
        <v>52504</v>
      </c>
      <c r="F274" s="37">
        <f>IF(B273&lt;'Умови та класичний графік'!$J$14,E274-D274+1,"")</f>
        <v>30</v>
      </c>
      <c r="G274" s="89">
        <f>IF(B273&lt;'Умови та класичний графік'!$J$14,J274+K274+L274,"")</f>
        <v>44748.858447488557</v>
      </c>
      <c r="H274" s="90"/>
      <c r="I274" s="32">
        <f>IF(B273&lt;'Умови та класичний графік'!$J$14,I273-J274,"")</f>
        <v>124999.99999999849</v>
      </c>
      <c r="J274" s="32">
        <f>IF(B273&lt;'Умови та класичний графік'!$J$14,J273,"")</f>
        <v>41666.666666666664</v>
      </c>
      <c r="K274" s="32">
        <f>IF(B273&lt;'Умови та класичний графік'!$J$14,((I273*'Умови та класичний графік'!$J$23)/365)*F274,"")</f>
        <v>3082.19178082189</v>
      </c>
      <c r="L274" s="30">
        <f>IF(B273&lt;'Умови та класичний графік'!$J$14,SUM(M274:V274),"")</f>
        <v>0</v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>
        <f>IF(B273&lt;'Умови та класичний графік'!$J$14,XIRR($G$37:G274,$C$37:C274,0),"")</f>
        <v>0.42582904785156261</v>
      </c>
      <c r="X274" s="42"/>
      <c r="Y274" s="35"/>
    </row>
    <row r="275" spans="2:25" x14ac:dyDescent="0.2">
      <c r="B275" s="47">
        <v>238</v>
      </c>
      <c r="C275" s="36">
        <f>IF(B274&lt;'Умови та класичний графік'!$J$14,EDATE(C274,1),"")</f>
        <v>52536</v>
      </c>
      <c r="D275" s="36">
        <f>IF(B274&lt;'Умови та класичний графік'!$J$14,C274,"")</f>
        <v>52505</v>
      </c>
      <c r="E275" s="26">
        <f>IF(B274&lt;'Умови та класичний графік'!$J$14,C275-1,"")</f>
        <v>52535</v>
      </c>
      <c r="F275" s="37">
        <f>IF(B274&lt;'Умови та класичний графік'!$J$14,E275-D275+1,"")</f>
        <v>31</v>
      </c>
      <c r="G275" s="89">
        <f>IF(B274&lt;'Умови та класичний графік'!$J$14,J275+K275+L275,"")</f>
        <v>44055.365296803619</v>
      </c>
      <c r="H275" s="90"/>
      <c r="I275" s="32">
        <f>IF(B274&lt;'Умови та класичний графік'!$J$14,I274-J275,"")</f>
        <v>83333.33333333183</v>
      </c>
      <c r="J275" s="32">
        <f>IF(B274&lt;'Умови та класичний графік'!$J$14,J274,"")</f>
        <v>41666.666666666664</v>
      </c>
      <c r="K275" s="32">
        <f>IF(B274&lt;'Умови та класичний графік'!$J$14,((I274*'Умови та класичний графік'!$J$23)/365)*F275,"")</f>
        <v>2388.6986301369575</v>
      </c>
      <c r="L275" s="30">
        <f>IF(B274&lt;'Умови та класичний графік'!$J$14,SUM(M275:V275),"")</f>
        <v>0</v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>
        <f>IF(B274&lt;'Умови та класичний графік'!$J$14,XIRR($G$37:G275,$C$37:C275,0),"")</f>
        <v>0.42583175292968756</v>
      </c>
      <c r="X275" s="49"/>
      <c r="Y275" s="35"/>
    </row>
    <row r="276" spans="2:25" x14ac:dyDescent="0.2">
      <c r="B276" s="47">
        <v>239</v>
      </c>
      <c r="C276" s="36">
        <f>IF(B275&lt;'Умови та класичний графік'!$J$14,EDATE(C275,1),"")</f>
        <v>52566</v>
      </c>
      <c r="D276" s="36">
        <f>IF(B275&lt;'Умови та класичний графік'!$J$14,C275,"")</f>
        <v>52536</v>
      </c>
      <c r="E276" s="26">
        <f>IF(B275&lt;'Умови та класичний графік'!$J$14,C276-1,"")</f>
        <v>52565</v>
      </c>
      <c r="F276" s="37">
        <f>IF(B275&lt;'Умови та класичний графік'!$J$14,E276-D276+1,"")</f>
        <v>30</v>
      </c>
      <c r="G276" s="89">
        <f>IF(B275&lt;'Умови та класичний графік'!$J$14,J276+K276+L276,"")</f>
        <v>43207.762557077593</v>
      </c>
      <c r="H276" s="90"/>
      <c r="I276" s="32">
        <f>IF(B275&lt;'Умови та класичний графік'!$J$14,I275-J276,"")</f>
        <v>41666.666666665165</v>
      </c>
      <c r="J276" s="32">
        <f>IF(B275&lt;'Умови та класичний графік'!$J$14,J275,"")</f>
        <v>41666.666666666664</v>
      </c>
      <c r="K276" s="32">
        <f>IF(B275&lt;'Умови та класичний графік'!$J$14,((I275*'Умови та класичний графік'!$J$23)/365)*F276,"")</f>
        <v>1541.0958904109311</v>
      </c>
      <c r="L276" s="30">
        <f>IF(B275&lt;'Умови та класичний графік'!$J$14,SUM(M276:V276),"")</f>
        <v>0</v>
      </c>
      <c r="M276" s="38"/>
      <c r="N276" s="39"/>
      <c r="O276" s="39"/>
      <c r="P276" s="48"/>
      <c r="Q276" s="40"/>
      <c r="R276" s="40"/>
      <c r="S276" s="41"/>
      <c r="T276" s="41"/>
      <c r="U276" s="41"/>
      <c r="V276" s="41"/>
      <c r="W276" s="43">
        <f>IF(B275&lt;'Умови та класичний графік'!$J$14,XIRR($G$37:G276,$C$37:C276,0),"")</f>
        <v>0.42583432128906262</v>
      </c>
      <c r="X276" s="49"/>
      <c r="Y276" s="35"/>
    </row>
    <row r="277" spans="2:25" x14ac:dyDescent="0.2">
      <c r="B277" s="47">
        <v>240</v>
      </c>
      <c r="C277" s="36">
        <f>IF(B276&lt;'Умови та класичний графік'!$J$14,EDATE(C276,1),"")</f>
        <v>52597</v>
      </c>
      <c r="D277" s="36">
        <f>IF(B276&lt;'Умови та класичний графік'!$J$14,C276,"")</f>
        <v>52566</v>
      </c>
      <c r="E277" s="26">
        <f>IF(B276&lt;'Умови та класичний графік'!$J$14,C277-1,"")</f>
        <v>52596</v>
      </c>
      <c r="F277" s="37">
        <f>IF(B276&lt;'Умови та класичний графік'!$J$14,E277-D277+1,"")</f>
        <v>31</v>
      </c>
      <c r="G277" s="89">
        <f>IF(B276&lt;'Умови та класичний графік'!$J$14,J277+K277+L277,"")</f>
        <v>42462.899543378968</v>
      </c>
      <c r="H277" s="90"/>
      <c r="I277" s="32">
        <f>IF(B276&lt;'Умови та класичний графік'!$J$14,I276-J277,"")</f>
        <v>-1.4988472685217857E-9</v>
      </c>
      <c r="J277" s="32">
        <f>IF(B276&lt;'Умови та класичний графік'!$J$14,J276,"")</f>
        <v>41666.666666666664</v>
      </c>
      <c r="K277" s="32">
        <f>IF(B276&lt;'Умови та класичний графік'!$J$14,((I276*'Умови та класичний графік'!$J$23)/365)*F277,"")</f>
        <v>796.23287671230003</v>
      </c>
      <c r="L277" s="30">
        <f>IF(B276&lt;'Умови та класичний графік'!$J$14,SUM(M277:V277),"")</f>
        <v>0</v>
      </c>
      <c r="M277" s="38"/>
      <c r="N277" s="39"/>
      <c r="O277" s="39"/>
      <c r="P277" s="48"/>
      <c r="Q277" s="40"/>
      <c r="R277" s="40"/>
      <c r="S277" s="41"/>
      <c r="T277" s="41"/>
      <c r="U277" s="33"/>
      <c r="V277" s="41"/>
      <c r="W277" s="43">
        <f>IF(B276&lt;'Умови та класичний графік'!$J$14,XIRR($G$37:G277,$C$37:C277,0),"")</f>
        <v>0.42583677246093754</v>
      </c>
      <c r="X277" s="49"/>
      <c r="Y277" s="35"/>
    </row>
    <row r="278" spans="2:25" x14ac:dyDescent="0.2">
      <c r="B278" s="25"/>
      <c r="C278" s="91" t="s">
        <v>25</v>
      </c>
      <c r="D278" s="91"/>
      <c r="E278" s="91"/>
      <c r="F278" s="91"/>
      <c r="G278" s="92">
        <f>SUM(G38:H277)</f>
        <v>40986234.589041121</v>
      </c>
      <c r="H278" s="93"/>
      <c r="I278" s="50" t="s">
        <v>24</v>
      </c>
      <c r="J278" s="50">
        <f>SUM(J38:J277)</f>
        <v>10000000.000000002</v>
      </c>
      <c r="K278" s="50">
        <f t="shared" ref="K278" si="4">SUM(K37:K277)</f>
        <v>22607234.589041106</v>
      </c>
      <c r="L278" s="51">
        <f>SUM(L37:L277)</f>
        <v>10553300</v>
      </c>
      <c r="M278" s="52">
        <f t="shared" ref="M278:V278" si="5">SUM(M37:M277)</f>
        <v>0</v>
      </c>
      <c r="N278" s="50">
        <f t="shared" si="5"/>
        <v>150</v>
      </c>
      <c r="O278" s="50">
        <f t="shared" si="5"/>
        <v>150000</v>
      </c>
      <c r="P278" s="50">
        <f t="shared" si="5"/>
        <v>0</v>
      </c>
      <c r="Q278" s="50">
        <f t="shared" si="5"/>
        <v>0</v>
      </c>
      <c r="R278" s="50">
        <f t="shared" si="5"/>
        <v>0</v>
      </c>
      <c r="S278" s="53">
        <f t="shared" si="5"/>
        <v>148000</v>
      </c>
      <c r="T278" s="53">
        <f t="shared" si="5"/>
        <v>0</v>
      </c>
      <c r="U278" s="53">
        <f t="shared" si="5"/>
        <v>8835000</v>
      </c>
      <c r="V278" s="53">
        <f t="shared" si="5"/>
        <v>1420150</v>
      </c>
      <c r="W278" s="43" t="str">
        <f>IF(B277&lt;'Умови та класичний графік'!$J$14,XIRR($G$37:G278,$C$37:C278,0),"")</f>
        <v/>
      </c>
      <c r="X278" s="50">
        <f>K278+L278</f>
        <v>33160534.589041106</v>
      </c>
      <c r="Y278" s="54">
        <f>X278+'Умови та класичний графік'!J13</f>
        <v>43160534.589041106</v>
      </c>
    </row>
    <row r="279" spans="2:25" s="57" customFormat="1" ht="13.7" customHeight="1" x14ac:dyDescent="0.2">
      <c r="B279" s="55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9"/>
      <c r="V279" s="56"/>
    </row>
    <row r="280" spans="2:25" s="57" customFormat="1" x14ac:dyDescent="0.2">
      <c r="B280" s="55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9"/>
      <c r="V280" s="56"/>
    </row>
  </sheetData>
  <protectedRanges>
    <protectedRange sqref="J13:K15" name="Параметри кредиту_1"/>
  </protectedRanges>
  <autoFilter ref="B36:X280" xr:uid="{9F976E4A-E8F9-4CCB-89B6-352916A89167}">
    <filterColumn colId="5" showButton="0"/>
  </autoFilter>
  <mergeCells count="320">
    <mergeCell ref="G26:N26"/>
    <mergeCell ref="O22:U22"/>
    <mergeCell ref="L13:M13"/>
    <mergeCell ref="J13:K13"/>
    <mergeCell ref="G17:I17"/>
    <mergeCell ref="J17:K17"/>
    <mergeCell ref="J18:K18"/>
    <mergeCell ref="G18:I18"/>
    <mergeCell ref="G13:I13"/>
    <mergeCell ref="G20:I20"/>
    <mergeCell ref="J20:K20"/>
    <mergeCell ref="L15:M15"/>
    <mergeCell ref="L17:M17"/>
    <mergeCell ref="L18:M18"/>
    <mergeCell ref="G16:I16"/>
    <mergeCell ref="J16:K16"/>
    <mergeCell ref="L20:M20"/>
    <mergeCell ref="L16:M16"/>
    <mergeCell ref="J14:K14"/>
    <mergeCell ref="G19:I19"/>
    <mergeCell ref="J19:K19"/>
    <mergeCell ref="L19:M19"/>
    <mergeCell ref="N19:U19"/>
    <mergeCell ref="G239:H239"/>
    <mergeCell ref="G240:H240"/>
    <mergeCell ref="G241:H241"/>
    <mergeCell ref="G242:H242"/>
    <mergeCell ref="L33:L35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182:H182"/>
    <mergeCell ref="G243:H243"/>
    <mergeCell ref="G244:H244"/>
    <mergeCell ref="G254:H25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62:H62"/>
    <mergeCell ref="G63:H63"/>
    <mergeCell ref="G64:H64"/>
    <mergeCell ref="G50:H50"/>
    <mergeCell ref="G51:H51"/>
    <mergeCell ref="G52:H52"/>
    <mergeCell ref="G53:H53"/>
    <mergeCell ref="G54:H54"/>
    <mergeCell ref="G39:H39"/>
    <mergeCell ref="G40:H40"/>
    <mergeCell ref="G41:H41"/>
    <mergeCell ref="G42:H42"/>
    <mergeCell ref="G37:H37"/>
    <mergeCell ref="G38:H38"/>
    <mergeCell ref="G55:H55"/>
    <mergeCell ref="G56:H56"/>
    <mergeCell ref="G57:H57"/>
    <mergeCell ref="G58:H58"/>
    <mergeCell ref="G59:H59"/>
    <mergeCell ref="G60:H60"/>
    <mergeCell ref="G61:H61"/>
    <mergeCell ref="G43:H43"/>
    <mergeCell ref="G44:H44"/>
    <mergeCell ref="G45:H45"/>
    <mergeCell ref="G46:H46"/>
    <mergeCell ref="G47:H47"/>
    <mergeCell ref="G48:H48"/>
    <mergeCell ref="G49:H49"/>
    <mergeCell ref="W32:W35"/>
    <mergeCell ref="C7:E7"/>
    <mergeCell ref="F7:G7"/>
    <mergeCell ref="J21:K21"/>
    <mergeCell ref="J22:K22"/>
    <mergeCell ref="G22:I22"/>
    <mergeCell ref="G24:J24"/>
    <mergeCell ref="G30:N30"/>
    <mergeCell ref="N13:U13"/>
    <mergeCell ref="N14:U14"/>
    <mergeCell ref="N15:U15"/>
    <mergeCell ref="N16:U16"/>
    <mergeCell ref="N17:U17"/>
    <mergeCell ref="N18:U18"/>
    <mergeCell ref="N20:U20"/>
    <mergeCell ref="J15:K15"/>
    <mergeCell ref="G23:I23"/>
    <mergeCell ref="J23:K23"/>
    <mergeCell ref="L14:M14"/>
    <mergeCell ref="N23:U23"/>
    <mergeCell ref="L21:M21"/>
    <mergeCell ref="L22:M22"/>
    <mergeCell ref="L23:M23"/>
    <mergeCell ref="O21:U21"/>
    <mergeCell ref="G36:H36"/>
    <mergeCell ref="T10:U10"/>
    <mergeCell ref="X32:X35"/>
    <mergeCell ref="B32:B35"/>
    <mergeCell ref="C32:C35"/>
    <mergeCell ref="F32:F35"/>
    <mergeCell ref="G32:H35"/>
    <mergeCell ref="D32:E34"/>
    <mergeCell ref="C8:E8"/>
    <mergeCell ref="F8:G8"/>
    <mergeCell ref="K33:K35"/>
    <mergeCell ref="G21:I21"/>
    <mergeCell ref="J32:V32"/>
    <mergeCell ref="J33:J35"/>
    <mergeCell ref="M33:V33"/>
    <mergeCell ref="M34:P34"/>
    <mergeCell ref="Q34:R34"/>
    <mergeCell ref="S34:V34"/>
    <mergeCell ref="I32:I35"/>
    <mergeCell ref="G29:N29"/>
    <mergeCell ref="G28:N28"/>
    <mergeCell ref="G27:N27"/>
    <mergeCell ref="G14:I14"/>
    <mergeCell ref="G15:I15"/>
    <mergeCell ref="G66:H66"/>
    <mergeCell ref="G67:H67"/>
    <mergeCell ref="G255:H255"/>
    <mergeCell ref="G256:H256"/>
    <mergeCell ref="G267:H267"/>
    <mergeCell ref="G268:H268"/>
    <mergeCell ref="G76:H76"/>
    <mergeCell ref="G257:H257"/>
    <mergeCell ref="G258:H258"/>
    <mergeCell ref="G259:H259"/>
    <mergeCell ref="G77:H77"/>
    <mergeCell ref="G78:H78"/>
    <mergeCell ref="G79:H79"/>
    <mergeCell ref="G80:H80"/>
    <mergeCell ref="G81:H81"/>
    <mergeCell ref="G82:H82"/>
    <mergeCell ref="G68:H68"/>
    <mergeCell ref="G69:H69"/>
    <mergeCell ref="G70:H70"/>
    <mergeCell ref="G71:H71"/>
    <mergeCell ref="G72:H72"/>
    <mergeCell ref="G73:H73"/>
    <mergeCell ref="G74:H74"/>
    <mergeCell ref="G75:H75"/>
    <mergeCell ref="B3:M6"/>
    <mergeCell ref="B9:M9"/>
    <mergeCell ref="Y32:Y35"/>
    <mergeCell ref="C279:T279"/>
    <mergeCell ref="C280:T280"/>
    <mergeCell ref="G269:H269"/>
    <mergeCell ref="G270:H270"/>
    <mergeCell ref="G271:H271"/>
    <mergeCell ref="G262:H262"/>
    <mergeCell ref="C278:F278"/>
    <mergeCell ref="G278:H278"/>
    <mergeCell ref="G272:H272"/>
    <mergeCell ref="G273:H273"/>
    <mergeCell ref="G274:H274"/>
    <mergeCell ref="G275:H275"/>
    <mergeCell ref="G276:H276"/>
    <mergeCell ref="G263:H263"/>
    <mergeCell ref="G264:H264"/>
    <mergeCell ref="G265:H265"/>
    <mergeCell ref="G266:H266"/>
    <mergeCell ref="G277:H277"/>
    <mergeCell ref="G260:H260"/>
    <mergeCell ref="G261:H261"/>
    <mergeCell ref="G65:H65"/>
  </mergeCells>
  <conditionalFormatting sqref="J14:K14">
    <cfRule type="cellIs" dxfId="13" priority="8" operator="lessThan">
      <formula>12</formula>
    </cfRule>
    <cfRule type="cellIs" dxfId="12" priority="9" operator="greaterThan">
      <formula>240</formula>
    </cfRule>
    <cfRule type="cellIs" dxfId="11" priority="10" operator="between">
      <formula>11.9</formula>
      <formula>240</formula>
    </cfRule>
  </conditionalFormatting>
  <conditionalFormatting sqref="J13:K13">
    <cfRule type="cellIs" dxfId="10" priority="3" operator="greaterThan">
      <formula>$J$15-$J$15*25%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pageMargins left="0.39370078740157483" right="0.39370078740157483" top="0.19685039370078741" bottom="0.27559055118110237" header="0.35433070866141736" footer="0.27559055118110237"/>
  <pageSetup paperSize="9" scale="48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8"/>
  <sheetViews>
    <sheetView view="pageBreakPreview" topLeftCell="A10" zoomScale="85" zoomScaleNormal="85" zoomScaleSheetLayoutView="85" workbookViewId="0">
      <selection activeCell="O28" sqref="O28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85" t="s">
        <v>61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2:24" ht="1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2:24" ht="12.75" customHeight="1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24" ht="21" customHeight="1" x14ac:dyDescent="0.2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60"/>
      <c r="R6" s="60"/>
      <c r="S6" s="60"/>
      <c r="T6" s="60"/>
      <c r="U6" s="60"/>
      <c r="V6" s="60"/>
      <c r="W6" s="60"/>
      <c r="X6" s="60"/>
    </row>
    <row r="7" spans="2:24" ht="21" x14ac:dyDescent="0.35">
      <c r="B7" s="86" t="s">
        <v>40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61"/>
      <c r="O7" s="61"/>
      <c r="P7" s="61"/>
      <c r="Q7" s="2"/>
      <c r="R7" s="2"/>
      <c r="S7" s="4"/>
      <c r="T7" s="4"/>
      <c r="U7" s="4"/>
      <c r="V7" s="4"/>
      <c r="W7" s="2"/>
      <c r="X7" s="2"/>
    </row>
    <row r="8" spans="2:24" ht="12.75" customHeight="1" x14ac:dyDescent="0.2">
      <c r="P8" s="5"/>
      <c r="Q8" s="5"/>
      <c r="R8" s="6"/>
      <c r="S8" s="6"/>
      <c r="T8" s="94"/>
      <c r="U8" s="94"/>
      <c r="V8" s="64"/>
    </row>
    <row r="9" spans="2:24" ht="12.75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customHeight="1" x14ac:dyDescent="0.2">
      <c r="G11" s="206" t="s">
        <v>1</v>
      </c>
      <c r="H11" s="207"/>
      <c r="I11" s="208"/>
      <c r="J11" s="209">
        <f>'Умови та класичний графік'!J13:K13</f>
        <v>10000000</v>
      </c>
      <c r="K11" s="210"/>
      <c r="L11" s="211" t="s">
        <v>10</v>
      </c>
      <c r="M11" s="212"/>
      <c r="N11" s="213" t="s">
        <v>53</v>
      </c>
      <c r="O11" s="214"/>
      <c r="P11" s="214"/>
      <c r="Q11" s="214"/>
      <c r="R11" s="214"/>
      <c r="S11" s="214"/>
      <c r="T11" s="214"/>
      <c r="U11" s="215"/>
      <c r="V11" s="64"/>
    </row>
    <row r="12" spans="2:24" ht="12.75" customHeight="1" x14ac:dyDescent="0.2">
      <c r="G12" s="174" t="s">
        <v>2</v>
      </c>
      <c r="H12" s="175"/>
      <c r="I12" s="193"/>
      <c r="J12" s="216">
        <f>'Умови та класичний графік'!J14:K14</f>
        <v>240</v>
      </c>
      <c r="K12" s="217"/>
      <c r="L12" s="196" t="s">
        <v>3</v>
      </c>
      <c r="M12" s="197"/>
      <c r="N12" s="198" t="s">
        <v>34</v>
      </c>
      <c r="O12" s="199"/>
      <c r="P12" s="199"/>
      <c r="Q12" s="199"/>
      <c r="R12" s="199"/>
      <c r="S12" s="199"/>
      <c r="T12" s="199"/>
      <c r="U12" s="200"/>
      <c r="V12" s="64"/>
    </row>
    <row r="13" spans="2:24" ht="12.75" customHeight="1" x14ac:dyDescent="0.2">
      <c r="G13" s="174" t="s">
        <v>54</v>
      </c>
      <c r="H13" s="175"/>
      <c r="I13" s="193"/>
      <c r="J13" s="204">
        <f>'Умови та класичний графік'!J15:K15</f>
        <v>142000000</v>
      </c>
      <c r="K13" s="205"/>
      <c r="L13" s="196" t="s">
        <v>10</v>
      </c>
      <c r="M13" s="197"/>
      <c r="N13" s="198"/>
      <c r="O13" s="199"/>
      <c r="P13" s="199"/>
      <c r="Q13" s="199"/>
      <c r="R13" s="199"/>
      <c r="S13" s="199"/>
      <c r="T13" s="199"/>
      <c r="U13" s="200"/>
      <c r="V13" s="64"/>
    </row>
    <row r="14" spans="2:24" ht="12.75" customHeight="1" x14ac:dyDescent="0.2">
      <c r="G14" s="174" t="s">
        <v>31</v>
      </c>
      <c r="H14" s="175"/>
      <c r="I14" s="193"/>
      <c r="J14" s="194">
        <f>J11*1.5%</f>
        <v>150000</v>
      </c>
      <c r="K14" s="195"/>
      <c r="L14" s="196" t="s">
        <v>10</v>
      </c>
      <c r="M14" s="197"/>
      <c r="N14" s="201" t="s">
        <v>42</v>
      </c>
      <c r="O14" s="202"/>
      <c r="P14" s="202"/>
      <c r="Q14" s="202"/>
      <c r="R14" s="202"/>
      <c r="S14" s="202"/>
      <c r="T14" s="202"/>
      <c r="U14" s="203"/>
      <c r="V14" s="64"/>
    </row>
    <row r="15" spans="2:24" ht="13.5" customHeight="1" x14ac:dyDescent="0.2">
      <c r="G15" s="174" t="s">
        <v>32</v>
      </c>
      <c r="H15" s="175"/>
      <c r="I15" s="193"/>
      <c r="J15" s="194">
        <v>150</v>
      </c>
      <c r="K15" s="195"/>
      <c r="L15" s="196" t="s">
        <v>10</v>
      </c>
      <c r="M15" s="197"/>
      <c r="N15" s="198" t="s">
        <v>37</v>
      </c>
      <c r="O15" s="199"/>
      <c r="P15" s="199"/>
      <c r="Q15" s="199"/>
      <c r="R15" s="199"/>
      <c r="S15" s="199"/>
      <c r="T15" s="199"/>
      <c r="U15" s="200"/>
    </row>
    <row r="16" spans="2:24" ht="13.5" customHeight="1" x14ac:dyDescent="0.2">
      <c r="G16" s="174" t="s">
        <v>56</v>
      </c>
      <c r="H16" s="175"/>
      <c r="I16" s="193"/>
      <c r="J16" s="194">
        <f>J13*0.1%+6000</f>
        <v>148000</v>
      </c>
      <c r="K16" s="195"/>
      <c r="L16" s="196" t="s">
        <v>10</v>
      </c>
      <c r="M16" s="197"/>
      <c r="N16" s="201" t="s">
        <v>70</v>
      </c>
      <c r="O16" s="202"/>
      <c r="P16" s="202"/>
      <c r="Q16" s="202"/>
      <c r="R16" s="202"/>
      <c r="S16" s="202"/>
      <c r="T16" s="202"/>
      <c r="U16" s="203"/>
    </row>
    <row r="17" spans="2:25" ht="13.5" customHeight="1" x14ac:dyDescent="0.2">
      <c r="G17" s="174" t="s">
        <v>67</v>
      </c>
      <c r="H17" s="175"/>
      <c r="I17" s="193"/>
      <c r="J17" s="194">
        <f>J13*1%</f>
        <v>1420000</v>
      </c>
      <c r="K17" s="195"/>
      <c r="L17" s="83"/>
      <c r="M17" s="84" t="s">
        <v>10</v>
      </c>
      <c r="N17" s="198" t="s">
        <v>68</v>
      </c>
      <c r="O17" s="199"/>
      <c r="P17" s="199"/>
      <c r="Q17" s="199"/>
      <c r="R17" s="199"/>
      <c r="S17" s="199"/>
      <c r="T17" s="199"/>
      <c r="U17" s="200"/>
    </row>
    <row r="18" spans="2:25" ht="12.75" customHeight="1" x14ac:dyDescent="0.2">
      <c r="G18" s="218" t="s">
        <v>33</v>
      </c>
      <c r="H18" s="219"/>
      <c r="I18" s="220"/>
      <c r="J18" s="221">
        <v>150</v>
      </c>
      <c r="K18" s="222"/>
      <c r="L18" s="223" t="s">
        <v>10</v>
      </c>
      <c r="M18" s="224"/>
      <c r="N18" s="198" t="s">
        <v>35</v>
      </c>
      <c r="O18" s="199"/>
      <c r="P18" s="199"/>
      <c r="Q18" s="199"/>
      <c r="R18" s="199"/>
      <c r="S18" s="199"/>
      <c r="T18" s="199"/>
      <c r="U18" s="200"/>
    </row>
    <row r="19" spans="2:25" ht="12.75" customHeight="1" x14ac:dyDescent="0.2">
      <c r="G19" s="174" t="s">
        <v>57</v>
      </c>
      <c r="H19" s="175"/>
      <c r="I19" s="176"/>
      <c r="J19" s="177">
        <f>J13*N19</f>
        <v>426000</v>
      </c>
      <c r="K19" s="178"/>
      <c r="L19" s="179" t="s">
        <v>10</v>
      </c>
      <c r="M19" s="180"/>
      <c r="N19" s="68">
        <v>3.0000000000000001E-3</v>
      </c>
      <c r="O19" s="181" t="s">
        <v>71</v>
      </c>
      <c r="P19" s="181"/>
      <c r="Q19" s="181"/>
      <c r="R19" s="181"/>
      <c r="S19" s="181"/>
      <c r="T19" s="181"/>
      <c r="U19" s="182"/>
      <c r="V19" s="59"/>
    </row>
    <row r="20" spans="2:25" ht="12.75" customHeight="1" x14ac:dyDescent="0.2">
      <c r="G20" s="174" t="s">
        <v>38</v>
      </c>
      <c r="H20" s="175"/>
      <c r="I20" s="176"/>
      <c r="J20" s="177">
        <f>J11*0.3%</f>
        <v>30000</v>
      </c>
      <c r="K20" s="178"/>
      <c r="L20" s="179" t="s">
        <v>10</v>
      </c>
      <c r="M20" s="180"/>
      <c r="N20" s="68">
        <v>3.0000000000000001E-3</v>
      </c>
      <c r="O20" s="181" t="s">
        <v>58</v>
      </c>
      <c r="P20" s="181"/>
      <c r="Q20" s="181"/>
      <c r="R20" s="181"/>
      <c r="S20" s="181"/>
      <c r="T20" s="181"/>
      <c r="U20" s="182"/>
      <c r="V20" s="59"/>
    </row>
    <row r="21" spans="2:25" ht="12.75" customHeight="1" thickBot="1" x14ac:dyDescent="0.25">
      <c r="G21" s="183" t="s">
        <v>55</v>
      </c>
      <c r="H21" s="184"/>
      <c r="I21" s="185"/>
      <c r="J21" s="186">
        <f>'Умови та класичний графік'!J23:K23</f>
        <v>0.22500000000000001</v>
      </c>
      <c r="K21" s="187"/>
      <c r="L21" s="188" t="s">
        <v>4</v>
      </c>
      <c r="M21" s="189"/>
      <c r="N21" s="190" t="s">
        <v>46</v>
      </c>
      <c r="O21" s="191"/>
      <c r="P21" s="191"/>
      <c r="Q21" s="191"/>
      <c r="R21" s="191"/>
      <c r="S21" s="191"/>
      <c r="T21" s="191"/>
      <c r="U21" s="192"/>
      <c r="V21" s="59"/>
    </row>
    <row r="22" spans="2:25" ht="12.75" customHeight="1" x14ac:dyDescent="0.2">
      <c r="G22" s="170" t="s">
        <v>41</v>
      </c>
      <c r="H22" s="170"/>
      <c r="I22" s="170"/>
      <c r="J22" s="170"/>
      <c r="K22" s="10"/>
      <c r="L22" s="66"/>
      <c r="M22" s="66"/>
      <c r="N22" s="12"/>
      <c r="O22" s="12"/>
      <c r="P22" s="12"/>
      <c r="Q22" s="12"/>
      <c r="R22" s="12"/>
      <c r="S22" s="12"/>
      <c r="T22" s="59"/>
      <c r="U22" s="59"/>
      <c r="V22" s="59"/>
    </row>
    <row r="23" spans="2:25" ht="12.75" customHeight="1" x14ac:dyDescent="0.2">
      <c r="G23" s="13"/>
      <c r="H23" s="13"/>
      <c r="I23" s="13"/>
      <c r="J23" s="14"/>
      <c r="K23" s="14"/>
      <c r="L23" s="66"/>
      <c r="M23" s="66"/>
      <c r="N23" s="12"/>
      <c r="O23" s="12"/>
      <c r="P23" s="12"/>
      <c r="Q23" s="12"/>
      <c r="R23" s="12"/>
      <c r="S23" s="12"/>
      <c r="T23" s="70"/>
      <c r="U23" s="70"/>
      <c r="V23" s="69"/>
    </row>
    <row r="24" spans="2:25" s="2" customFormat="1" ht="15" x14ac:dyDescent="0.25">
      <c r="G24" s="119" t="s">
        <v>59</v>
      </c>
      <c r="H24" s="119"/>
      <c r="I24" s="119"/>
      <c r="J24" s="119"/>
      <c r="K24" s="119"/>
      <c r="L24" s="119"/>
      <c r="M24" s="119"/>
      <c r="N24" s="119"/>
      <c r="O24" s="71"/>
      <c r="P24" s="71"/>
      <c r="Q24" s="71"/>
      <c r="R24" s="71"/>
      <c r="S24" s="71"/>
      <c r="T24" s="72"/>
      <c r="U24" s="72"/>
      <c r="V24" s="73"/>
    </row>
    <row r="25" spans="2:25" s="2" customFormat="1" ht="15" x14ac:dyDescent="0.25">
      <c r="G25" s="171" t="s">
        <v>45</v>
      </c>
      <c r="H25" s="172"/>
      <c r="I25" s="172"/>
      <c r="J25" s="172"/>
      <c r="K25" s="172"/>
      <c r="L25" s="172"/>
      <c r="M25" s="172"/>
      <c r="N25" s="173"/>
      <c r="O25" s="74">
        <f>MAX(W39:W276)</f>
        <v>0.39855326660156254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171" t="s">
        <v>39</v>
      </c>
      <c r="H26" s="172"/>
      <c r="I26" s="172"/>
      <c r="J26" s="172"/>
      <c r="K26" s="172"/>
      <c r="L26" s="172"/>
      <c r="M26" s="172"/>
      <c r="N26" s="173"/>
      <c r="O26" s="76">
        <f>J14+J15+J16+J18+J19+J20+J17</f>
        <v>2174300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71" t="s">
        <v>43</v>
      </c>
      <c r="H27" s="172"/>
      <c r="I27" s="172"/>
      <c r="J27" s="172"/>
      <c r="K27" s="172"/>
      <c r="L27" s="172"/>
      <c r="M27" s="172"/>
      <c r="N27" s="173"/>
      <c r="O27" s="76">
        <f>X276</f>
        <v>46252475.582712471</v>
      </c>
      <c r="P27" s="75"/>
      <c r="Q27" s="75"/>
      <c r="R27" s="75"/>
      <c r="S27" s="75"/>
      <c r="T27" s="73"/>
      <c r="U27" s="73"/>
      <c r="V27" s="73"/>
    </row>
    <row r="28" spans="2:25" s="2" customFormat="1" ht="15" x14ac:dyDescent="0.25">
      <c r="G28" s="171" t="s">
        <v>44</v>
      </c>
      <c r="H28" s="172"/>
      <c r="I28" s="172"/>
      <c r="J28" s="172"/>
      <c r="K28" s="172"/>
      <c r="L28" s="172"/>
      <c r="M28" s="172"/>
      <c r="N28" s="173"/>
      <c r="O28" s="76">
        <f>Y276</f>
        <v>56252475.582712471</v>
      </c>
      <c r="P28" s="75"/>
      <c r="Q28" s="75"/>
      <c r="R28" s="75"/>
      <c r="S28" s="75"/>
      <c r="T28" s="77"/>
      <c r="U28" s="77"/>
      <c r="V28" s="77"/>
    </row>
    <row r="29" spans="2:25" x14ac:dyDescent="0.2">
      <c r="L29" s="1"/>
      <c r="R29" s="58"/>
      <c r="S29" s="59"/>
      <c r="T29" s="59"/>
      <c r="U29" s="59"/>
      <c r="V29" s="59"/>
    </row>
    <row r="30" spans="2:25" s="9" customFormat="1" ht="12.75" customHeight="1" x14ac:dyDescent="0.2">
      <c r="B30" s="87" t="s">
        <v>36</v>
      </c>
      <c r="C30" s="87" t="s">
        <v>26</v>
      </c>
      <c r="D30" s="87" t="s">
        <v>6</v>
      </c>
      <c r="E30" s="87"/>
      <c r="F30" s="95" t="s">
        <v>12</v>
      </c>
      <c r="G30" s="98" t="s">
        <v>47</v>
      </c>
      <c r="H30" s="99"/>
      <c r="I30" s="116" t="s">
        <v>29</v>
      </c>
      <c r="J30" s="109" t="s">
        <v>11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6" t="s">
        <v>48</v>
      </c>
      <c r="X30" s="87" t="s">
        <v>49</v>
      </c>
      <c r="Y30" s="87" t="s">
        <v>50</v>
      </c>
    </row>
    <row r="31" spans="2:25" s="9" customFormat="1" ht="12.75" customHeight="1" x14ac:dyDescent="0.2">
      <c r="B31" s="87"/>
      <c r="C31" s="87"/>
      <c r="D31" s="87"/>
      <c r="E31" s="87"/>
      <c r="F31" s="96"/>
      <c r="G31" s="100"/>
      <c r="H31" s="101"/>
      <c r="I31" s="117"/>
      <c r="J31" s="104" t="s">
        <v>52</v>
      </c>
      <c r="K31" s="104" t="s">
        <v>51</v>
      </c>
      <c r="L31" s="167" t="s">
        <v>30</v>
      </c>
      <c r="M31" s="110" t="s">
        <v>13</v>
      </c>
      <c r="N31" s="111"/>
      <c r="O31" s="111"/>
      <c r="P31" s="111"/>
      <c r="Q31" s="111"/>
      <c r="R31" s="111"/>
      <c r="S31" s="111"/>
      <c r="T31" s="111"/>
      <c r="U31" s="111"/>
      <c r="V31" s="112"/>
      <c r="W31" s="117"/>
      <c r="X31" s="87"/>
      <c r="Y31" s="87"/>
    </row>
    <row r="32" spans="2:25" s="9" customFormat="1" ht="15" customHeight="1" x14ac:dyDescent="0.2">
      <c r="B32" s="87"/>
      <c r="C32" s="87"/>
      <c r="D32" s="87"/>
      <c r="E32" s="87"/>
      <c r="F32" s="96"/>
      <c r="G32" s="100"/>
      <c r="H32" s="101"/>
      <c r="I32" s="117"/>
      <c r="J32" s="105"/>
      <c r="K32" s="105"/>
      <c r="L32" s="168"/>
      <c r="M32" s="110" t="s">
        <v>14</v>
      </c>
      <c r="N32" s="111"/>
      <c r="O32" s="111"/>
      <c r="P32" s="112"/>
      <c r="Q32" s="113" t="s">
        <v>17</v>
      </c>
      <c r="R32" s="114"/>
      <c r="S32" s="113" t="s">
        <v>20</v>
      </c>
      <c r="T32" s="115"/>
      <c r="U32" s="115"/>
      <c r="V32" s="114"/>
      <c r="W32" s="117"/>
      <c r="X32" s="87"/>
      <c r="Y32" s="87"/>
    </row>
    <row r="33" spans="1:25" s="9" customFormat="1" ht="55.5" customHeight="1" x14ac:dyDescent="0.2">
      <c r="B33" s="87"/>
      <c r="C33" s="87"/>
      <c r="D33" s="65" t="s">
        <v>7</v>
      </c>
      <c r="E33" s="65" t="s">
        <v>8</v>
      </c>
      <c r="F33" s="97"/>
      <c r="G33" s="100"/>
      <c r="H33" s="101"/>
      <c r="I33" s="118"/>
      <c r="J33" s="105"/>
      <c r="K33" s="105"/>
      <c r="L33" s="169"/>
      <c r="M33" s="65" t="s">
        <v>15</v>
      </c>
      <c r="N33" s="62" t="s">
        <v>9</v>
      </c>
      <c r="O33" s="62" t="s">
        <v>16</v>
      </c>
      <c r="P33" s="62" t="s">
        <v>5</v>
      </c>
      <c r="Q33" s="62" t="s">
        <v>18</v>
      </c>
      <c r="R33" s="18" t="s">
        <v>19</v>
      </c>
      <c r="S33" s="62" t="s">
        <v>21</v>
      </c>
      <c r="T33" s="62" t="s">
        <v>22</v>
      </c>
      <c r="U33" s="62" t="s">
        <v>23</v>
      </c>
      <c r="V33" s="62" t="s">
        <v>28</v>
      </c>
      <c r="W33" s="118"/>
      <c r="X33" s="87"/>
      <c r="Y33" s="87"/>
    </row>
    <row r="34" spans="1:25" s="24" customFormat="1" x14ac:dyDescent="0.2">
      <c r="B34" s="63">
        <v>1</v>
      </c>
      <c r="C34" s="20">
        <v>2</v>
      </c>
      <c r="D34" s="63">
        <v>3</v>
      </c>
      <c r="E34" s="63">
        <v>4</v>
      </c>
      <c r="F34" s="63">
        <v>5</v>
      </c>
      <c r="G34" s="91">
        <v>6</v>
      </c>
      <c r="H34" s="91"/>
      <c r="I34" s="63">
        <v>9</v>
      </c>
      <c r="J34" s="63">
        <v>10</v>
      </c>
      <c r="K34" s="63">
        <v>11</v>
      </c>
      <c r="L34" s="63"/>
      <c r="M34" s="63">
        <v>14</v>
      </c>
      <c r="N34" s="21">
        <v>15</v>
      </c>
      <c r="O34" s="63">
        <v>16</v>
      </c>
      <c r="P34" s="63">
        <v>17</v>
      </c>
      <c r="Q34" s="63">
        <v>18</v>
      </c>
      <c r="R34" s="63">
        <v>19</v>
      </c>
      <c r="S34" s="67">
        <v>20</v>
      </c>
      <c r="T34" s="67">
        <v>21</v>
      </c>
      <c r="U34" s="67">
        <v>22</v>
      </c>
      <c r="V34" s="67">
        <v>23</v>
      </c>
      <c r="W34" s="63">
        <v>24</v>
      </c>
      <c r="X34" s="63">
        <v>27</v>
      </c>
      <c r="Y34" s="23">
        <v>30</v>
      </c>
    </row>
    <row r="35" spans="1:25" x14ac:dyDescent="0.2">
      <c r="B35" s="25" t="s">
        <v>24</v>
      </c>
      <c r="C35" s="26">
        <v>44197</v>
      </c>
      <c r="D35" s="27" t="s">
        <v>24</v>
      </c>
      <c r="E35" s="27" t="s">
        <v>24</v>
      </c>
      <c r="F35" s="28" t="s">
        <v>24</v>
      </c>
      <c r="G35" s="142">
        <f>-('Умови та класичний графік'!J13-L35)</f>
        <v>-7825700</v>
      </c>
      <c r="H35" s="143"/>
      <c r="I35" s="29" t="s">
        <v>24</v>
      </c>
      <c r="J35" s="28" t="s">
        <v>24</v>
      </c>
      <c r="K35" s="28" t="s">
        <v>24</v>
      </c>
      <c r="L35" s="30">
        <f>SUM(M35:V35)</f>
        <v>2174300</v>
      </c>
      <c r="M35" s="31">
        <v>0</v>
      </c>
      <c r="N35" s="31">
        <v>150</v>
      </c>
      <c r="O35" s="32">
        <f>J14</f>
        <v>150000</v>
      </c>
      <c r="P35" s="31">
        <f>SUM(P36:P275)</f>
        <v>0</v>
      </c>
      <c r="Q35" s="31">
        <f>SUM(Q36:Q275)</f>
        <v>0</v>
      </c>
      <c r="R35" s="31">
        <f>SUM(R36:R275)</f>
        <v>0</v>
      </c>
      <c r="S35" s="33">
        <f>('Умови та класичний графік'!J15*0.1%+6000)</f>
        <v>148000</v>
      </c>
      <c r="T35" s="33">
        <f>SUM(T36:T275)</f>
        <v>0</v>
      </c>
      <c r="U35" s="33">
        <f>J19+J20</f>
        <v>456000</v>
      </c>
      <c r="V35" s="33">
        <f>150+J17</f>
        <v>1420150</v>
      </c>
      <c r="W35" s="43"/>
      <c r="X35" s="32"/>
      <c r="Y35" s="35"/>
    </row>
    <row r="36" spans="1:25" x14ac:dyDescent="0.2">
      <c r="B36" s="25">
        <v>1</v>
      </c>
      <c r="C36" s="36">
        <v>44228</v>
      </c>
      <c r="D36" s="36">
        <f>C35</f>
        <v>44197</v>
      </c>
      <c r="E36" s="26">
        <f>C36-1</f>
        <v>44227</v>
      </c>
      <c r="F36" s="37">
        <f>E36-D36+1</f>
        <v>31</v>
      </c>
      <c r="G36" s="144">
        <f>-(SUM(J36:L36))</f>
        <v>189697.00607135333</v>
      </c>
      <c r="H36" s="144"/>
      <c r="I36" s="32">
        <f>'Умови та класичний графік'!J13+J36</f>
        <v>9997802.9939286467</v>
      </c>
      <c r="J36" s="32">
        <f>PPMT($J$21/12,B36,$J$12,$J$11,0,0)</f>
        <v>-2197.0060713533389</v>
      </c>
      <c r="K36" s="32">
        <f>IPMT($J$21/12,B36,$J$12,$J$11,0,0)</f>
        <v>-187500</v>
      </c>
      <c r="L36" s="30">
        <f>-(SUM(M36:V36))</f>
        <v>0</v>
      </c>
      <c r="M36" s="38"/>
      <c r="N36" s="39"/>
      <c r="O36" s="40"/>
      <c r="P36" s="32"/>
      <c r="Q36" s="40"/>
      <c r="R36" s="40"/>
      <c r="S36" s="41"/>
      <c r="T36" s="41"/>
      <c r="U36" s="41"/>
      <c r="V36" s="41"/>
      <c r="W36" s="43" t="str">
        <f>IF(B35&lt;'Умови та класичний графік'!$J$14,XIRR($G$35:G35,$C$35:C35,0),"")</f>
        <v/>
      </c>
      <c r="X36" s="42"/>
      <c r="Y36" s="35"/>
    </row>
    <row r="37" spans="1:25" x14ac:dyDescent="0.2">
      <c r="A37" s="1">
        <f>IF(J14&lt;=60,"19",IF(AND(J14&gt;=61,J14&lt;=120),"20",IF(AND(J14&lt;=180,J14&gt;=121),"21","21,5")))%</f>
        <v>0.215</v>
      </c>
      <c r="B37" s="25">
        <v>2</v>
      </c>
      <c r="C37" s="36">
        <v>44256</v>
      </c>
      <c r="D37" s="36">
        <f t="shared" ref="D37" si="0">C36</f>
        <v>44228</v>
      </c>
      <c r="E37" s="26">
        <f t="shared" ref="E37" si="1">C37-1</f>
        <v>44255</v>
      </c>
      <c r="F37" s="37">
        <f t="shared" ref="F37" si="2">E37-D37+1</f>
        <v>28</v>
      </c>
      <c r="G37" s="144">
        <f t="shared" ref="G37" si="3">-(SUM(J37:L37))</f>
        <v>189697.00607135333</v>
      </c>
      <c r="H37" s="144"/>
      <c r="I37" s="32">
        <f>I36+J37</f>
        <v>9995564.7939934563</v>
      </c>
      <c r="J37" s="32">
        <f t="shared" ref="J37" si="4">PPMT($J$21/12,B37,$J$12,$J$11,0,0)</f>
        <v>-2238.1999351912145</v>
      </c>
      <c r="K37" s="32">
        <f t="shared" ref="K37" si="5">IPMT($J$21/12,B37,$J$12,$J$11,0,0)</f>
        <v>-187458.80613616211</v>
      </c>
      <c r="L37" s="30">
        <f t="shared" ref="L37" si="6">-(SUM(M37:V37))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 t="e">
        <f>IF(B36&lt;'Умови та класичний графік'!$J$14,XIRR($G$35:G37,$C$35:C37,0),"")</f>
        <v>#NUM!</v>
      </c>
      <c r="X37" s="42"/>
      <c r="Y37" s="35"/>
    </row>
    <row r="38" spans="1:25" x14ac:dyDescent="0.2">
      <c r="A38" s="46"/>
      <c r="B38" s="25">
        <v>3</v>
      </c>
      <c r="C38" s="36">
        <f>IF(B37&lt;'Умови та класичний графік'!$J$14,EDATE(C37,1),"")</f>
        <v>44287</v>
      </c>
      <c r="D38" s="36">
        <f>IF(B37&lt;'Умови та класичний графік'!$J$14,C37,"")</f>
        <v>44256</v>
      </c>
      <c r="E38" s="26">
        <f>IF(B37&lt;'Умови та класичний графік'!$J$14,C38-1,"")</f>
        <v>44286</v>
      </c>
      <c r="F38" s="37">
        <f>IF(B37&lt;'Умови та класичний графік'!$J$14,E38-D38+1,"")</f>
        <v>31</v>
      </c>
      <c r="G38" s="144">
        <f>IF(B37&lt;'Умови та класичний графік'!$J$14,-(SUM(J38:L38)),"")</f>
        <v>189697.00607135336</v>
      </c>
      <c r="H38" s="144"/>
      <c r="I38" s="32">
        <f>IF(B37&lt;'Умови та класичний графік'!$J$14,I37+J38,"")</f>
        <v>9993284.6278094798</v>
      </c>
      <c r="J38" s="32">
        <f>IF(B37&lt;'Умови та класичний графік'!$J$14,PPMT($J$21/12,B38,$J$12,$J$11,0,0),"")</f>
        <v>-2280.1661839760509</v>
      </c>
      <c r="K38" s="32">
        <f>IF(B37&lt;'Умови та класичний графік'!$J$14,IPMT($J$21/12,B38,$J$12,$J$11,0,0),"")</f>
        <v>-187416.83988737731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графік'!$J$14,XIRR($G$35:G38,$C$35:C38,0),"")</f>
        <v>-0.99999882362879755</v>
      </c>
      <c r="X38" s="42"/>
      <c r="Y38" s="35"/>
    </row>
    <row r="39" spans="1:25" x14ac:dyDescent="0.2">
      <c r="B39" s="25">
        <v>4</v>
      </c>
      <c r="C39" s="36">
        <f>IF(B38&lt;'Умови та класичний графік'!$J$14,EDATE(C38,1),"")</f>
        <v>44317</v>
      </c>
      <c r="D39" s="36">
        <f>IF(B38&lt;'Умови та класичний графік'!$J$14,C38,"")</f>
        <v>44287</v>
      </c>
      <c r="E39" s="26">
        <f>IF(B38&lt;'Умови та класичний графік'!$J$14,C39-1,"")</f>
        <v>44316</v>
      </c>
      <c r="F39" s="37">
        <f>IF(B38&lt;'Умови та класичний графік'!$J$14,E39-D39+1,"")</f>
        <v>30</v>
      </c>
      <c r="G39" s="144">
        <f>IF(B38&lt;'Умови та класичний графік'!$J$14,-(SUM(J39:L39)),"")</f>
        <v>189697.00607135333</v>
      </c>
      <c r="H39" s="144"/>
      <c r="I39" s="32">
        <f>IF(B38&lt;'Умови та класичний графік'!$J$14,I38+J39,"")</f>
        <v>9990961.7085095551</v>
      </c>
      <c r="J39" s="32">
        <f>IF(B38&lt;'Умови та класичний графік'!$J$14,PPMT($J$21/12,B39,$J$12,$J$11,0,0),"")</f>
        <v>-2322.9192999256006</v>
      </c>
      <c r="K39" s="32">
        <f>IF(B38&lt;'Умови та класичний графік'!$J$14,IPMT($J$21/12,B39,$J$12,$J$11,0,0),"")</f>
        <v>-187374.08677142774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графік'!$J$14,XIRR($G$35:G39,$C$35:C39,0),"")</f>
        <v>-0.99993302571274145</v>
      </c>
      <c r="X39" s="42"/>
      <c r="Y39" s="35"/>
    </row>
    <row r="40" spans="1:25" x14ac:dyDescent="0.2">
      <c r="B40" s="25">
        <v>5</v>
      </c>
      <c r="C40" s="36">
        <f>IF(B39&lt;'Умови та класичний графік'!$J$14,EDATE(C39,1),"")</f>
        <v>44348</v>
      </c>
      <c r="D40" s="36">
        <f>IF(B39&lt;'Умови та класичний графік'!$J$14,C39,"")</f>
        <v>44317</v>
      </c>
      <c r="E40" s="26">
        <f>IF(B39&lt;'Умови та класичний графік'!$J$14,C40-1,"")</f>
        <v>44347</v>
      </c>
      <c r="F40" s="37">
        <f>IF(B39&lt;'Умови та класичний графік'!$J$14,E40-D40+1,"")</f>
        <v>31</v>
      </c>
      <c r="G40" s="144">
        <f>IF(B39&lt;'Умови та класичний графік'!$J$14,-(SUM(J40:L40)),"")</f>
        <v>189697.00607135333</v>
      </c>
      <c r="H40" s="144"/>
      <c r="I40" s="32">
        <f>IF(B39&lt;'Умови та класичний графік'!$J$14,I39+J40,"")</f>
        <v>9988595.2344727553</v>
      </c>
      <c r="J40" s="32">
        <f>IF(B39&lt;'Умови та класичний графік'!$J$14,PPMT($J$21/12,B40,$J$12,$J$11,0,0),"")</f>
        <v>-2366.4740367992063</v>
      </c>
      <c r="K40" s="32">
        <f>IF(B39&lt;'Умови та класичний графік'!$J$14,IPMT($J$21/12,B40,$J$12,$J$11,0,0),"")</f>
        <v>-187330.53203455411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графік'!$J$14,XIRR($G$35:G40,$C$35:C40,0),"")</f>
        <v>-0.99925224468255613</v>
      </c>
      <c r="X40" s="42"/>
      <c r="Y40" s="35"/>
    </row>
    <row r="41" spans="1:25" x14ac:dyDescent="0.2">
      <c r="B41" s="25">
        <v>6</v>
      </c>
      <c r="C41" s="36">
        <f>IF(B40&lt;'Умови та класичний графік'!$J$14,EDATE(C40,1),"")</f>
        <v>44378</v>
      </c>
      <c r="D41" s="36">
        <f>IF(B40&lt;'Умови та класичний графік'!$J$14,C40,"")</f>
        <v>44348</v>
      </c>
      <c r="E41" s="26">
        <f>IF(B40&lt;'Умови та класичний графік'!$J$14,C41-1,"")</f>
        <v>44377</v>
      </c>
      <c r="F41" s="37">
        <f>IF(B40&lt;'Умови та класичний графік'!$J$14,E41-D41+1,"")</f>
        <v>30</v>
      </c>
      <c r="G41" s="144">
        <f>IF(B40&lt;'Умови та класичний графік'!$J$14,-(SUM(J41:L41)),"")</f>
        <v>189697.00607135333</v>
      </c>
      <c r="H41" s="144"/>
      <c r="I41" s="32">
        <f>IF(B40&lt;'Умови та класичний графік'!$J$14,I40+J41,"")</f>
        <v>9986184.3890477661</v>
      </c>
      <c r="J41" s="32">
        <f>IF(B40&lt;'Умови та класичний графік'!$J$14,PPMT($J$21/12,B41,$J$12,$J$11,0,0),"")</f>
        <v>-2410.845424989192</v>
      </c>
      <c r="K41" s="32">
        <f>IF(B40&lt;'Умови та класичний графік'!$J$14,IPMT($J$21/12,B41,$J$12,$J$11,0,0),"")</f>
        <v>-187286.16064636415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графік'!$J$14,XIRR($G$35:G41,$C$35:C41,0),"")</f>
        <v>-0.9964564848212385</v>
      </c>
      <c r="X41" s="42"/>
      <c r="Y41" s="35"/>
    </row>
    <row r="42" spans="1:25" x14ac:dyDescent="0.2">
      <c r="B42" s="25">
        <v>7</v>
      </c>
      <c r="C42" s="36">
        <f>IF(B41&lt;'Умови та класичний графік'!$J$14,EDATE(C41,1),"")</f>
        <v>44409</v>
      </c>
      <c r="D42" s="36">
        <f>IF(B41&lt;'Умови та класичний графік'!$J$14,C41,"")</f>
        <v>44378</v>
      </c>
      <c r="E42" s="26">
        <f>IF(B41&lt;'Умови та класичний графік'!$J$14,C42-1,"")</f>
        <v>44408</v>
      </c>
      <c r="F42" s="37">
        <f>IF(B41&lt;'Умови та класичний графік'!$J$14,E42-D42+1,"")</f>
        <v>31</v>
      </c>
      <c r="G42" s="144">
        <f>IF(B41&lt;'Умови та класичний графік'!$J$14,-(SUM(J42:L42)),"")</f>
        <v>189697.00607135333</v>
      </c>
      <c r="H42" s="144"/>
      <c r="I42" s="32">
        <f>IF(B41&lt;'Умови та класичний графік'!$J$14,I41+J42,"")</f>
        <v>9983728.3402710576</v>
      </c>
      <c r="J42" s="32">
        <f>IF(B41&lt;'Умови та класичний графік'!$J$14,PPMT($J$21/12,B42,$J$12,$J$11,0,0),"")</f>
        <v>-2456.0487767077379</v>
      </c>
      <c r="K42" s="32">
        <f>IF(B41&lt;'Умови та класичний графік'!$J$14,IPMT($J$21/12,B42,$J$12,$J$11,0,0),"")</f>
        <v>-187240.9572946456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графік'!$J$14,XIRR($G$35:G42,$C$35:C42,0),"")</f>
        <v>-0.98942891462454563</v>
      </c>
      <c r="X42" s="42"/>
      <c r="Y42" s="35"/>
    </row>
    <row r="43" spans="1:25" x14ac:dyDescent="0.2">
      <c r="B43" s="25">
        <v>8</v>
      </c>
      <c r="C43" s="36">
        <f>IF(B42&lt;'Умови та класичний графік'!$J$14,EDATE(C42,1),"")</f>
        <v>44440</v>
      </c>
      <c r="D43" s="36">
        <f>IF(B42&lt;'Умови та класичний графік'!$J$14,C42,"")</f>
        <v>44409</v>
      </c>
      <c r="E43" s="26">
        <f>IF(B42&lt;'Умови та класичний графік'!$J$14,C43-1,"")</f>
        <v>44439</v>
      </c>
      <c r="F43" s="37">
        <f>IF(B42&lt;'Умови та класичний графік'!$J$14,E43-D43+1,"")</f>
        <v>31</v>
      </c>
      <c r="G43" s="144">
        <f>IF(B42&lt;'Умови та класичний графік'!$J$14,-(SUM(J43:L43)),"")</f>
        <v>189697.00607135333</v>
      </c>
      <c r="H43" s="144"/>
      <c r="I43" s="32">
        <f>IF(B42&lt;'Умови та класичний графік'!$J$14,I42+J43,"")</f>
        <v>9981226.2405797858</v>
      </c>
      <c r="J43" s="32">
        <f>IF(B42&lt;'Умови та класичний графік'!$J$14,PPMT($J$21/12,B43,$J$12,$J$11,0,0),"")</f>
        <v>-2502.0996912710084</v>
      </c>
      <c r="K43" s="32">
        <f>IF(B42&lt;'Умови та класичний графік'!$J$14,IPMT($J$21/12,B43,$J$12,$J$11,0,0),"")</f>
        <v>-187194.90638008234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графік'!$J$14,XIRR($G$35:G43,$C$35:C43,0),"")</f>
        <v>-0.9764638102803751</v>
      </c>
      <c r="X43" s="42"/>
      <c r="Y43" s="35"/>
    </row>
    <row r="44" spans="1:25" x14ac:dyDescent="0.2">
      <c r="B44" s="25">
        <v>9</v>
      </c>
      <c r="C44" s="36">
        <f>IF(B43&lt;'Умови та класичний графік'!$J$14,EDATE(C43,1),"")</f>
        <v>44470</v>
      </c>
      <c r="D44" s="36">
        <f>IF(B43&lt;'Умови та класичний графік'!$J$14,C43,"")</f>
        <v>44440</v>
      </c>
      <c r="E44" s="26">
        <f>IF(B43&lt;'Умови та класичний графік'!$J$14,C44-1,"")</f>
        <v>44469</v>
      </c>
      <c r="F44" s="37">
        <f>IF(B43&lt;'Умови та класичний графік'!$J$14,E44-D44+1,"")</f>
        <v>30</v>
      </c>
      <c r="G44" s="144">
        <f>IF(B43&lt;'Умови та класичний графік'!$J$14,-(SUM(J44:L44)),"")</f>
        <v>189697.00607135333</v>
      </c>
      <c r="H44" s="144"/>
      <c r="I44" s="32">
        <f>IF(B43&lt;'Умови та класичний графік'!$J$14,I43+J44,"")</f>
        <v>9978677.2265193034</v>
      </c>
      <c r="J44" s="32">
        <f>IF(B43&lt;'Умови та класичний графік'!$J$14,PPMT($J$21/12,B44,$J$12,$J$11,0,0),"")</f>
        <v>-2549.0140604823387</v>
      </c>
      <c r="K44" s="32">
        <f>IF(B43&lt;'Умови та класичний графік'!$J$14,IPMT($J$21/12,B44,$J$12,$J$11,0,0),"")</f>
        <v>-187147.99201087101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графік'!$J$14,XIRR($G$35:G44,$C$35:C44,0),"")</f>
        <v>-0.95699498035712161</v>
      </c>
      <c r="X44" s="42"/>
      <c r="Y44" s="35"/>
    </row>
    <row r="45" spans="1:25" x14ac:dyDescent="0.2">
      <c r="B45" s="25">
        <v>10</v>
      </c>
      <c r="C45" s="36">
        <f>IF(B44&lt;'Умови та класичний графік'!$J$14,EDATE(C44,1),"")</f>
        <v>44501</v>
      </c>
      <c r="D45" s="36">
        <f>IF(B44&lt;'Умови та класичний графік'!$J$14,C44,"")</f>
        <v>44470</v>
      </c>
      <c r="E45" s="26">
        <f>IF(B44&lt;'Умови та класичний графік'!$J$14,C45-1,"")</f>
        <v>44500</v>
      </c>
      <c r="F45" s="37">
        <f>IF(B44&lt;'Умови та класичний графік'!$J$14,E45-D45+1,"")</f>
        <v>31</v>
      </c>
      <c r="G45" s="144">
        <f>IF(B44&lt;'Умови та класичний графік'!$J$14,-(SUM(J45:L45)),"")</f>
        <v>189697.00607135336</v>
      </c>
      <c r="H45" s="144"/>
      <c r="I45" s="32">
        <f>IF(B44&lt;'Умови та класичний графік'!$J$14,I44+J45,"")</f>
        <v>9976080.4184451867</v>
      </c>
      <c r="J45" s="32">
        <f>IF(B44&lt;'Умови та класичний графік'!$J$14,PPMT($J$21/12,B45,$J$12,$J$11,0,0),"")</f>
        <v>-2596.8080741163835</v>
      </c>
      <c r="K45" s="32">
        <f>IF(B44&lt;'Умови та класичний графік'!$J$14,IPMT($J$21/12,B45,$J$12,$J$11,0,0),"")</f>
        <v>-187100.19799723697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графік'!$J$14,XIRR($G$35:G45,$C$35:C45,0),"")</f>
        <v>-0.93104451933059851</v>
      </c>
      <c r="X45" s="42"/>
      <c r="Y45" s="35"/>
    </row>
    <row r="46" spans="1:25" x14ac:dyDescent="0.2">
      <c r="B46" s="25">
        <v>11</v>
      </c>
      <c r="C46" s="36">
        <f>IF(B45&lt;'Умови та класичний графік'!$J$14,EDATE(C45,1),"")</f>
        <v>44531</v>
      </c>
      <c r="D46" s="36">
        <f>IF(B45&lt;'Умови та класичний графік'!$J$14,C45,"")</f>
        <v>44501</v>
      </c>
      <c r="E46" s="26">
        <f>IF(B45&lt;'Умови та класичний графік'!$J$14,C46-1,"")</f>
        <v>44530</v>
      </c>
      <c r="F46" s="37">
        <f>IF(B45&lt;'Умови та класичний графік'!$J$14,E46-D46+1,"")</f>
        <v>30</v>
      </c>
      <c r="G46" s="144">
        <f>IF(B45&lt;'Умови та класичний графік'!$J$14,-(SUM(J46:L46)),"")</f>
        <v>189697.00607135336</v>
      </c>
      <c r="H46" s="144"/>
      <c r="I46" s="32">
        <f>IF(B45&lt;'Умови та класичний графік'!$J$14,I45+J46,"")</f>
        <v>9973434.9202196803</v>
      </c>
      <c r="J46" s="32">
        <f>IF(B45&lt;'Умови та класичний графік'!$J$14,PPMT($J$21/12,B46,$J$12,$J$11,0,0),"")</f>
        <v>-2645.4982255060668</v>
      </c>
      <c r="K46" s="32">
        <f>IF(B45&lt;'Умови та класичний графік'!$J$14,IPMT($J$21/12,B46,$J$12,$J$11,0,0),"")</f>
        <v>-187051.50784584729</v>
      </c>
      <c r="L46" s="30">
        <f>IF(B45&lt;'Умови та класичний графік'!$J$14,-(SUM(M46:V46)),"")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графік'!$J$14,XIRR($G$35:G46,$C$35:C46,0),"")</f>
        <v>-0.899619253204055</v>
      </c>
      <c r="X46" s="42"/>
      <c r="Y46" s="35"/>
    </row>
    <row r="47" spans="1:25" x14ac:dyDescent="0.2">
      <c r="B47" s="25">
        <v>12</v>
      </c>
      <c r="C47" s="36">
        <f>IF(B46&lt;'Умови та класичний графік'!$J$14,EDATE(C46,1),"")</f>
        <v>44562</v>
      </c>
      <c r="D47" s="36">
        <f>IF(B46&lt;'Умови та класичний графік'!$J$14,C46,"")</f>
        <v>44531</v>
      </c>
      <c r="E47" s="26">
        <f>IF(B46&lt;'Умови та класичний графік'!$J$14,C47-1,"")</f>
        <v>44561</v>
      </c>
      <c r="F47" s="37">
        <f>IF(B46&lt;'Умови та класичний графік'!$J$14,E47-D47+1,"")</f>
        <v>31</v>
      </c>
      <c r="G47" s="144">
        <f>IF(B46&lt;'Умови та класичний графік'!$J$14,-(SUM(J47:L47)),"")</f>
        <v>645609.22552806069</v>
      </c>
      <c r="H47" s="144"/>
      <c r="I47" s="32">
        <f>IF(B46&lt;'Умови та класичний графік'!$J$14,I46+J47,"")</f>
        <v>9970739.818902446</v>
      </c>
      <c r="J47" s="32">
        <f>IF(B46&lt;'Умови та класичний графік'!$J$14,PPMT($J$21/12,B47,$J$12,$J$11,0,0),"")</f>
        <v>-2695.1013172343041</v>
      </c>
      <c r="K47" s="32">
        <f>IF(B46&lt;'Умови та класичний графік'!$J$14,IPMT($J$21/12,B47,$J$12,$J$11,0,0),"")</f>
        <v>-187001.90475411902</v>
      </c>
      <c r="L47" s="30">
        <f>IF(B46&lt;'Умови та класичний графік'!$J$14,-(SUM(M47:V47)),"")</f>
        <v>-455912.21945670736</v>
      </c>
      <c r="M47" s="38"/>
      <c r="N47" s="39"/>
      <c r="O47" s="39"/>
      <c r="P47" s="32"/>
      <c r="Q47" s="40"/>
      <c r="R47" s="40"/>
      <c r="S47" s="41"/>
      <c r="T47" s="41"/>
      <c r="U47" s="33">
        <f>IF(B46&lt;'Умови та класичний графік'!$J$14,('Умови та класичний графік'!$J$15*$N$19)+(I47*$N$20),"")</f>
        <v>455912.21945670736</v>
      </c>
      <c r="V47" s="41"/>
      <c r="W47" s="43">
        <f>IF(B46&lt;'Умови та класичний графік'!$J$14,XIRR($G$35:G47,$C$35:C47,0),"")</f>
        <v>-0.78355534009642913</v>
      </c>
      <c r="X47" s="42"/>
      <c r="Y47" s="35"/>
    </row>
    <row r="48" spans="1:25" x14ac:dyDescent="0.2">
      <c r="B48" s="25">
        <v>13</v>
      </c>
      <c r="C48" s="36">
        <f>IF(B47&lt;'Умови та класичний графік'!$J$14,EDATE(C47,1),"")</f>
        <v>44593</v>
      </c>
      <c r="D48" s="36">
        <f>IF(B47&lt;'Умови та класичний графік'!$J$14,C47,"")</f>
        <v>44562</v>
      </c>
      <c r="E48" s="26">
        <f>IF(B47&lt;'Умови та класичний графік'!$J$14,C48-1,"")</f>
        <v>44592</v>
      </c>
      <c r="F48" s="37">
        <f>IF(B47&lt;'Умови та класичний графік'!$J$14,E48-D48+1,"")</f>
        <v>31</v>
      </c>
      <c r="G48" s="144">
        <f>IF(B47&lt;'Умови та класичний графік'!$J$14,-(SUM(J48:L48)),"")</f>
        <v>189697.00607135333</v>
      </c>
      <c r="H48" s="144"/>
      <c r="I48" s="32">
        <f>IF(B47&lt;'Умови та класичний графік'!$J$14,I47+J48,"")</f>
        <v>9967994.1844355129</v>
      </c>
      <c r="J48" s="32">
        <f>IF(B47&lt;'Умови та класичний графік'!$J$14,PPMT($J$21/12,B48,$J$12,$J$11,0,0),"")</f>
        <v>-2745.6344669324476</v>
      </c>
      <c r="K48" s="32">
        <f>IF(B47&lt;'Умови та класичний графік'!$J$14,IPMT($J$21/12,B48,$J$12,$J$11,0,0),"")</f>
        <v>-186951.37160442088</v>
      </c>
      <c r="L48" s="30">
        <f>IF(B47&lt;'Умови та класичний графік'!$J$14,-(SUM(M48:V48)),"")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графік'!$J$14,XIRR($G$35:G48,$C$35:C48,0),"")</f>
        <v>-0.74776865201123055</v>
      </c>
      <c r="X48" s="42"/>
      <c r="Y48" s="35"/>
    </row>
    <row r="49" spans="2:25" x14ac:dyDescent="0.2">
      <c r="B49" s="25">
        <v>14</v>
      </c>
      <c r="C49" s="36">
        <f>IF(B48&lt;'Умови та класичний графік'!$J$14,EDATE(C48,1),"")</f>
        <v>44621</v>
      </c>
      <c r="D49" s="36">
        <f>IF(B48&lt;'Умови та класичний графік'!$J$14,C48,"")</f>
        <v>44593</v>
      </c>
      <c r="E49" s="26">
        <f>IF(B48&lt;'Умови та класичний графік'!$J$14,C49-1,"")</f>
        <v>44620</v>
      </c>
      <c r="F49" s="37">
        <f>IF(B48&lt;'Умови та класичний графік'!$J$14,E49-D49+1,"")</f>
        <v>28</v>
      </c>
      <c r="G49" s="144">
        <f>IF(B48&lt;'Умови та класичний графік'!$J$14,-(SUM(J49:L49)),"")</f>
        <v>189697.00607135333</v>
      </c>
      <c r="H49" s="144"/>
      <c r="I49" s="32">
        <f>IF(B48&lt;'Умови та класичний графік'!$J$14,I48+J49,"")</f>
        <v>9965197.0693223253</v>
      </c>
      <c r="J49" s="32">
        <f>IF(B48&lt;'Умови та класичний графік'!$J$14,PPMT($J$21/12,B49,$J$12,$J$11,0,0),"")</f>
        <v>-2797.1151131874321</v>
      </c>
      <c r="K49" s="32">
        <f>IF(B48&lt;'Умови та класичний графік'!$J$14,IPMT($J$21/12,B49,$J$12,$J$11,0,0),"")</f>
        <v>-186899.8909581659</v>
      </c>
      <c r="L49" s="30">
        <f>IF(B48&lt;'Умови та класичний графік'!$J$14,-(SUM(M49:V49)),"")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графік'!$J$14,XIRR($G$35:G49,$C$35:C49,0),"")</f>
        <v>-0.71002659350343045</v>
      </c>
      <c r="X49" s="42"/>
      <c r="Y49" s="35"/>
    </row>
    <row r="50" spans="2:25" x14ac:dyDescent="0.2">
      <c r="B50" s="25">
        <v>15</v>
      </c>
      <c r="C50" s="36">
        <f>IF(B49&lt;'Умови та класичний графік'!$J$14,EDATE(C49,1),"")</f>
        <v>44652</v>
      </c>
      <c r="D50" s="36">
        <f>IF(B49&lt;'Умови та класичний графік'!$J$14,C49,"")</f>
        <v>44621</v>
      </c>
      <c r="E50" s="26">
        <f>IF(B49&lt;'Умови та класичний графік'!$J$14,C50-1,"")</f>
        <v>44651</v>
      </c>
      <c r="F50" s="37">
        <f>IF(B49&lt;'Умови та класичний графік'!$J$14,E50-D50+1,"")</f>
        <v>31</v>
      </c>
      <c r="G50" s="144">
        <f>IF(B49&lt;'Умови та класичний графік'!$J$14,-(SUM(J50:L50)),"")</f>
        <v>189697.00607135333</v>
      </c>
      <c r="H50" s="144"/>
      <c r="I50" s="32">
        <f>IF(B49&lt;'Умови та класичний графік'!$J$14,I49+J50,"")</f>
        <v>9962347.5083007663</v>
      </c>
      <c r="J50" s="32">
        <f>IF(B49&lt;'Умови та класичний графік'!$J$14,PPMT($J$21/12,B50,$J$12,$J$11,0,0),"")</f>
        <v>-2849.5610215596948</v>
      </c>
      <c r="K50" s="32">
        <f>IF(B49&lt;'Умови та класичний графік'!$J$14,IPMT($J$21/12,B50,$J$12,$J$11,0,0),"")</f>
        <v>-186847.44504979363</v>
      </c>
      <c r="L50" s="30">
        <f>IF(B49&lt;'Умови та класичний графік'!$J$14,-(SUM(M50:V50)),"")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графік'!$J$14,XIRR($G$35:G50,$C$35:C50,0),"")</f>
        <v>-0.67072186584807947</v>
      </c>
      <c r="X50" s="42"/>
      <c r="Y50" s="35"/>
    </row>
    <row r="51" spans="2:25" x14ac:dyDescent="0.2">
      <c r="B51" s="25">
        <v>16</v>
      </c>
      <c r="C51" s="36">
        <f>IF(B50&lt;'Умови та класичний графік'!$J$14,EDATE(C50,1),"")</f>
        <v>44682</v>
      </c>
      <c r="D51" s="36">
        <f>IF(B50&lt;'Умови та класичний графік'!$J$14,C50,"")</f>
        <v>44652</v>
      </c>
      <c r="E51" s="26">
        <f>IF(B50&lt;'Умови та класичний графік'!$J$14,C51-1,"")</f>
        <v>44681</v>
      </c>
      <c r="F51" s="37">
        <f>IF(B50&lt;'Умови та класичний графік'!$J$14,E51-D51+1,"")</f>
        <v>30</v>
      </c>
      <c r="G51" s="144">
        <f>IF(B50&lt;'Умови та класичний графік'!$J$14,-(SUM(J51:L51)),"")</f>
        <v>189697.00607135333</v>
      </c>
      <c r="H51" s="144"/>
      <c r="I51" s="32">
        <f>IF(B50&lt;'Умови та класичний графік'!$J$14,I50+J51,"")</f>
        <v>9959444.5180100519</v>
      </c>
      <c r="J51" s="32">
        <f>IF(B50&lt;'Умови та класичний графік'!$J$14,PPMT($J$21/12,B51,$J$12,$J$11,0,0),"")</f>
        <v>-2902.9902907139399</v>
      </c>
      <c r="K51" s="32">
        <f>IF(B50&lt;'Умови та класичний графік'!$J$14,IPMT($J$21/12,B51,$J$12,$J$11,0,0),"")</f>
        <v>-186794.0157806394</v>
      </c>
      <c r="L51" s="30">
        <f>IF(B50&lt;'Умови та класичний графік'!$J$14,-(SUM(M51:V51)),"")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графік'!$J$14,XIRR($G$35:G51,$C$35:C51,0),"")</f>
        <v>-0.63071872775174664</v>
      </c>
      <c r="X51" s="42"/>
      <c r="Y51" s="35"/>
    </row>
    <row r="52" spans="2:25" x14ac:dyDescent="0.2">
      <c r="B52" s="25">
        <v>17</v>
      </c>
      <c r="C52" s="36">
        <f>IF(B51&lt;'Умови та класичний графік'!$J$14,EDATE(C51,1),"")</f>
        <v>44713</v>
      </c>
      <c r="D52" s="36">
        <f>IF(B51&lt;'Умови та класичний графік'!$J$14,C51,"")</f>
        <v>44682</v>
      </c>
      <c r="E52" s="26">
        <f>IF(B51&lt;'Умови та класичний графік'!$J$14,C52-1,"")</f>
        <v>44712</v>
      </c>
      <c r="F52" s="37">
        <f>IF(B51&lt;'Умови та класичний графік'!$J$14,E52-D52+1,"")</f>
        <v>31</v>
      </c>
      <c r="G52" s="144">
        <f>IF(B51&lt;'Умови та класичний графік'!$J$14,-(SUM(J52:L52)),"")</f>
        <v>189697.00607135333</v>
      </c>
      <c r="H52" s="144"/>
      <c r="I52" s="32">
        <f>IF(B51&lt;'Умови та класичний графік'!$J$14,I51+J52,"")</f>
        <v>9956487.0966513865</v>
      </c>
      <c r="J52" s="32">
        <f>IF(B51&lt;'Умови та класичний графік'!$J$14,PPMT($J$21/12,B52,$J$12,$J$11,0,0),"")</f>
        <v>-2957.421358664827</v>
      </c>
      <c r="K52" s="32">
        <f>IF(B51&lt;'Умови та класичний графік'!$J$14,IPMT($J$21/12,B52,$J$12,$J$11,0,0),"")</f>
        <v>-186739.58471268849</v>
      </c>
      <c r="L52" s="30">
        <f>IF(B51&lt;'Умови та класичний графік'!$J$14,-(SUM(M52:V52)),"")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графік'!$J$14,XIRR($G$35:G52,$C$35:C52,0),"")</f>
        <v>-0.59051864297740175</v>
      </c>
      <c r="X52" s="42"/>
      <c r="Y52" s="35"/>
    </row>
    <row r="53" spans="2:25" x14ac:dyDescent="0.2">
      <c r="B53" s="25">
        <v>18</v>
      </c>
      <c r="C53" s="36">
        <f>IF(B52&lt;'Умови та класичний графік'!$J$14,EDATE(C52,1),"")</f>
        <v>44743</v>
      </c>
      <c r="D53" s="36">
        <f>IF(B52&lt;'Умови та класичний графік'!$J$14,C52,"")</f>
        <v>44713</v>
      </c>
      <c r="E53" s="26">
        <f>IF(B52&lt;'Умови та класичний графік'!$J$14,C53-1,"")</f>
        <v>44742</v>
      </c>
      <c r="F53" s="37">
        <f>IF(B52&lt;'Умови та класичний графік'!$J$14,E53-D53+1,"")</f>
        <v>30</v>
      </c>
      <c r="G53" s="144">
        <f>IF(B52&lt;'Умови та класичний графік'!$J$14,-(SUM(J53:L53)),"")</f>
        <v>189697.00607135336</v>
      </c>
      <c r="H53" s="144"/>
      <c r="I53" s="32">
        <f>IF(B52&lt;'Умови та класичний графік'!$J$14,I52+J53,"")</f>
        <v>9953474.2236422468</v>
      </c>
      <c r="J53" s="32">
        <f>IF(B52&lt;'Умови та класичний графік'!$J$14,PPMT($J$21/12,B53,$J$12,$J$11,0,0),"")</f>
        <v>-3012.8730091397915</v>
      </c>
      <c r="K53" s="32">
        <f>IF(B52&lt;'Умови та класичний графік'!$J$14,IPMT($J$21/12,B53,$J$12,$J$11,0,0),"")</f>
        <v>-186684.13306221357</v>
      </c>
      <c r="L53" s="30">
        <f>IF(B52&lt;'Умови та класичний графік'!$J$14,-(SUM(M53:V53)),"")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графік'!$J$14,XIRR($G$35:G53,$C$35:C53,0),"")</f>
        <v>-0.55071681755565127</v>
      </c>
      <c r="X53" s="42"/>
      <c r="Y53" s="35"/>
    </row>
    <row r="54" spans="2:25" x14ac:dyDescent="0.2">
      <c r="B54" s="25">
        <v>19</v>
      </c>
      <c r="C54" s="36">
        <f>IF(B53&lt;'Умови та класичний графік'!$J$14,EDATE(C53,1),"")</f>
        <v>44774</v>
      </c>
      <c r="D54" s="36">
        <f>IF(B53&lt;'Умови та класичний графік'!$J$14,C53,"")</f>
        <v>44743</v>
      </c>
      <c r="E54" s="26">
        <f>IF(B53&lt;'Умови та класичний графік'!$J$14,C54-1,"")</f>
        <v>44773</v>
      </c>
      <c r="F54" s="37">
        <f>IF(B53&lt;'Умови та класичний графік'!$J$14,E54-D54+1,"")</f>
        <v>31</v>
      </c>
      <c r="G54" s="144">
        <f>IF(B53&lt;'Умови та класичний графік'!$J$14,-(SUM(J54:L54)),"")</f>
        <v>189697.00607135333</v>
      </c>
      <c r="H54" s="144"/>
      <c r="I54" s="32">
        <f>IF(B53&lt;'Умови та класичний графік'!$J$14,I53+J54,"")</f>
        <v>9950404.8592641857</v>
      </c>
      <c r="J54" s="32">
        <f>IF(B53&lt;'Умови та класичний графік'!$J$14,PPMT($J$21/12,B54,$J$12,$J$11,0,0),"")</f>
        <v>-3069.3643780611633</v>
      </c>
      <c r="K54" s="32">
        <f>IF(B53&lt;'Умови та класичний графік'!$J$14,IPMT($J$21/12,B54,$J$12,$J$11,0,0),"")</f>
        <v>-186627.64169329216</v>
      </c>
      <c r="L54" s="30">
        <f>IF(B53&lt;'Умови та класичний графік'!$J$14,-(SUM(M54:V54)),"")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графік'!$J$14,XIRR($G$35:G54,$C$35:C54,0),"")</f>
        <v>-0.51159769690804202</v>
      </c>
      <c r="X54" s="42"/>
      <c r="Y54" s="35"/>
    </row>
    <row r="55" spans="2:25" x14ac:dyDescent="0.2">
      <c r="B55" s="25">
        <v>20</v>
      </c>
      <c r="C55" s="36">
        <f>IF(B54&lt;'Умови та класичний графік'!$J$14,EDATE(C54,1),"")</f>
        <v>44805</v>
      </c>
      <c r="D55" s="36">
        <f>IF(B54&lt;'Умови та класичний графік'!$J$14,C54,"")</f>
        <v>44774</v>
      </c>
      <c r="E55" s="26">
        <f>IF(B54&lt;'Умови та класичний графік'!$J$14,C55-1,"")</f>
        <v>44804</v>
      </c>
      <c r="F55" s="37">
        <f>IF(B54&lt;'Умови та класичний графік'!$J$14,E55-D55+1,"")</f>
        <v>31</v>
      </c>
      <c r="G55" s="144">
        <f>IF(B54&lt;'Умови та класичний графік'!$J$14,-(SUM(J55:L55)),"")</f>
        <v>189697.00607135336</v>
      </c>
      <c r="H55" s="144"/>
      <c r="I55" s="32">
        <f>IF(B54&lt;'Умови та класичний графік'!$J$14,I54+J55,"")</f>
        <v>9947277.944304036</v>
      </c>
      <c r="J55" s="32">
        <f>IF(B54&lt;'Умови та класичний графік'!$J$14,PPMT($J$21/12,B55,$J$12,$J$11,0,0),"")</f>
        <v>-3126.9149601498111</v>
      </c>
      <c r="K55" s="32">
        <f>IF(B54&lt;'Умови та класичний графік'!$J$14,IPMT($J$21/12,B55,$J$12,$J$11,0,0),"")</f>
        <v>-186570.09111120354</v>
      </c>
      <c r="L55" s="30">
        <f>IF(B54&lt;'Умови та класичний графік'!$J$14,-(SUM(M55:V55)),"")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графік'!$J$14,XIRR($G$35:G55,$C$35:C55,0),"")</f>
        <v>-0.47345694691829376</v>
      </c>
      <c r="X55" s="42"/>
      <c r="Y55" s="35"/>
    </row>
    <row r="56" spans="2:25" x14ac:dyDescent="0.2">
      <c r="B56" s="25">
        <v>21</v>
      </c>
      <c r="C56" s="36">
        <f>IF(B55&lt;'Умови та класичний графік'!$J$14,EDATE(C55,1),"")</f>
        <v>44835</v>
      </c>
      <c r="D56" s="36">
        <f>IF(B55&lt;'Умови та класичний графік'!$J$14,C55,"")</f>
        <v>44805</v>
      </c>
      <c r="E56" s="26">
        <f>IF(B55&lt;'Умови та класичний графік'!$J$14,C56-1,"")</f>
        <v>44834</v>
      </c>
      <c r="F56" s="37">
        <f>IF(B55&lt;'Умови та класичний графік'!$J$14,E56-D56+1,"")</f>
        <v>30</v>
      </c>
      <c r="G56" s="144">
        <f>IF(B55&lt;'Умови та класичний графік'!$J$14,-(SUM(J56:L56)),"")</f>
        <v>189697.00607135333</v>
      </c>
      <c r="H56" s="144"/>
      <c r="I56" s="32">
        <f>IF(B55&lt;'Умови та класичний графік'!$J$14,I55+J56,"")</f>
        <v>9944092.3996883836</v>
      </c>
      <c r="J56" s="32">
        <f>IF(B55&lt;'Умови та класичний графік'!$J$14,PPMT($J$21/12,B56,$J$12,$J$11,0,0),"")</f>
        <v>-3185.5446156526182</v>
      </c>
      <c r="K56" s="32">
        <f>IF(B55&lt;'Умови та класичний графік'!$J$14,IPMT($J$21/12,B56,$J$12,$J$11,0,0),"")</f>
        <v>-186511.46145570072</v>
      </c>
      <c r="L56" s="30">
        <f>IF(B55&lt;'Умови та класичний графік'!$J$14,-(SUM(M56:V56)),"")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графік'!$J$14,XIRR($G$35:G56,$C$35:C56,0),"")</f>
        <v>-0.43656025263361631</v>
      </c>
      <c r="X56" s="42"/>
      <c r="Y56" s="35"/>
    </row>
    <row r="57" spans="2:25" x14ac:dyDescent="0.2">
      <c r="B57" s="25">
        <v>22</v>
      </c>
      <c r="C57" s="36">
        <f>IF(B56&lt;'Умови та класичний графік'!$J$14,EDATE(C56,1),"")</f>
        <v>44866</v>
      </c>
      <c r="D57" s="36">
        <f>IF(B56&lt;'Умови та класичний графік'!$J$14,C56,"")</f>
        <v>44835</v>
      </c>
      <c r="E57" s="26">
        <f>IF(B56&lt;'Умови та класичний графік'!$J$14,C57-1,"")</f>
        <v>44865</v>
      </c>
      <c r="F57" s="37">
        <f>IF(B56&lt;'Умови та класичний графік'!$J$14,E57-D57+1,"")</f>
        <v>31</v>
      </c>
      <c r="G57" s="144">
        <f>IF(B56&lt;'Умови та класичний графік'!$J$14,-(SUM(J57:L57)),"")</f>
        <v>189697.00607135333</v>
      </c>
      <c r="H57" s="144"/>
      <c r="I57" s="32">
        <f>IF(B56&lt;'Умови та класичний графік'!$J$14,I56+J57,"")</f>
        <v>9940847.126111187</v>
      </c>
      <c r="J57" s="32">
        <f>IF(B56&lt;'Умови та класичний графік'!$J$14,PPMT($J$21/12,B57,$J$12,$J$11,0,0),"")</f>
        <v>-3245.2735771961056</v>
      </c>
      <c r="K57" s="32">
        <f>IF(B56&lt;'Умови та класичний графік'!$J$14,IPMT($J$21/12,B57,$J$12,$J$11,0,0),"")</f>
        <v>-186451.73249415722</v>
      </c>
      <c r="L57" s="30">
        <f>IF(B56&lt;'Умови та класичний графік'!$J$14,-(SUM(M57:V57)),"")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графік'!$J$14,XIRR($G$35:G57,$C$35:C57,0),"")</f>
        <v>-0.40097574148170656</v>
      </c>
      <c r="X57" s="42"/>
      <c r="Y57" s="35"/>
    </row>
    <row r="58" spans="2:25" x14ac:dyDescent="0.2">
      <c r="B58" s="25">
        <v>23</v>
      </c>
      <c r="C58" s="36">
        <f>IF(B57&lt;'Умови та класичний графік'!$J$14,EDATE(C57,1),"")</f>
        <v>44896</v>
      </c>
      <c r="D58" s="36">
        <f>IF(B57&lt;'Умови та класичний графік'!$J$14,C57,"")</f>
        <v>44866</v>
      </c>
      <c r="E58" s="26">
        <f>IF(B57&lt;'Умови та класичний графік'!$J$14,C58-1,"")</f>
        <v>44895</v>
      </c>
      <c r="F58" s="37">
        <f>IF(B57&lt;'Умови та класичний графік'!$J$14,E58-D58+1,"")</f>
        <v>30</v>
      </c>
      <c r="G58" s="144">
        <f>IF(B57&lt;'Умови та класичний графік'!$J$14,-(SUM(J58:L58)),"")</f>
        <v>189697.00607135336</v>
      </c>
      <c r="H58" s="144"/>
      <c r="I58" s="32">
        <f>IF(B57&lt;'Умови та класичний графік'!$J$14,I57+J58,"")</f>
        <v>9937541.0036544185</v>
      </c>
      <c r="J58" s="32">
        <f>IF(B57&lt;'Умови та класичний графік'!$J$14,PPMT($J$21/12,B58,$J$12,$J$11,0,0),"")</f>
        <v>-3306.1224567685313</v>
      </c>
      <c r="K58" s="32">
        <f>IF(B57&lt;'Умови та класичний графік'!$J$14,IPMT($J$21/12,B58,$J$12,$J$11,0,0),"")</f>
        <v>-186390.88361458483</v>
      </c>
      <c r="L58" s="30">
        <f>IF(B57&lt;'Умови та класичний графік'!$J$14,-(SUM(M58:V58)),"")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графік'!$J$14,XIRR($G$35:G58,$C$35:C58,0),"")</f>
        <v>-0.36683558544062078</v>
      </c>
      <c r="X58" s="42"/>
      <c r="Y58" s="35"/>
    </row>
    <row r="59" spans="2:25" x14ac:dyDescent="0.2">
      <c r="B59" s="25">
        <v>24</v>
      </c>
      <c r="C59" s="36">
        <f>IF(B58&lt;'Умови та класичний графік'!$J$14,EDATE(C58,1),"")</f>
        <v>44927</v>
      </c>
      <c r="D59" s="36">
        <f>IF(B58&lt;'Умови та класичний графік'!$J$14,C58,"")</f>
        <v>44896</v>
      </c>
      <c r="E59" s="26">
        <f>IF(B58&lt;'Умови та класичний графік'!$J$14,C59-1,"")</f>
        <v>44926</v>
      </c>
      <c r="F59" s="37">
        <f>IF(B58&lt;'Умови та класичний графік'!$J$14,E59-D59+1,"")</f>
        <v>31</v>
      </c>
      <c r="G59" s="144">
        <f>IF(B58&lt;'Умови та класичний графік'!$J$14,-(SUM(J59:L59)),"")</f>
        <v>645499.52474555816</v>
      </c>
      <c r="H59" s="144"/>
      <c r="I59" s="32">
        <f>IF(B58&lt;'Умови та класичний графік'!$J$14,I58+J59,"")</f>
        <v>9934172.8914015852</v>
      </c>
      <c r="J59" s="32">
        <f>IF(B58&lt;'Умови та класичний графік'!$J$14,PPMT($J$21/12,B59,$J$12,$J$11,0,0),"")</f>
        <v>-3368.1122528329415</v>
      </c>
      <c r="K59" s="32">
        <f>IF(B58&lt;'Умови та класичний графік'!$J$14,IPMT($J$21/12,B59,$J$12,$J$11,0,0),"")</f>
        <v>-186328.89381852042</v>
      </c>
      <c r="L59" s="30">
        <f>IF(B58&lt;'Умови та класичний графік'!$J$14,-(SUM(M59:V59)),"")</f>
        <v>-455802.51867420477</v>
      </c>
      <c r="M59" s="38"/>
      <c r="N59" s="39"/>
      <c r="O59" s="39"/>
      <c r="P59" s="32"/>
      <c r="Q59" s="40"/>
      <c r="R59" s="40"/>
      <c r="S59" s="41"/>
      <c r="T59" s="41"/>
      <c r="U59" s="33">
        <f>IF(B58&lt;'Умови та класичний графік'!$J$14,('Умови та класичний графік'!$J$15*$N$19)+(I59*$N$20),"")</f>
        <v>455802.51867420477</v>
      </c>
      <c r="V59" s="41"/>
      <c r="W59" s="43">
        <f>IF(B58&lt;'Умови та класичний графік'!$J$14,XIRR($G$35:G59,$C$35:C59,0),"")</f>
        <v>-0.2644035094288737</v>
      </c>
      <c r="X59" s="42"/>
      <c r="Y59" s="35"/>
    </row>
    <row r="60" spans="2:25" x14ac:dyDescent="0.2">
      <c r="B60" s="25">
        <v>25</v>
      </c>
      <c r="C60" s="36">
        <f>IF(B59&lt;'Умови та класичний графік'!$J$14,EDATE(C59,1),"")</f>
        <v>44958</v>
      </c>
      <c r="D60" s="36">
        <f>IF(B59&lt;'Умови та класичний графік'!$J$14,C59,"")</f>
        <v>44927</v>
      </c>
      <c r="E60" s="26">
        <f>IF(B59&lt;'Умови та класичний графік'!$J$14,C60-1,"")</f>
        <v>44957</v>
      </c>
      <c r="F60" s="37">
        <f>IF(B59&lt;'Умови та класичний графік'!$J$14,E60-D60+1,"")</f>
        <v>31</v>
      </c>
      <c r="G60" s="144">
        <f>IF(B59&lt;'Умови та класичний графік'!$J$14,-(SUM(J60:L60)),"")</f>
        <v>189697.00607135333</v>
      </c>
      <c r="H60" s="144"/>
      <c r="I60" s="32">
        <f>IF(B59&lt;'Умови та класичний графік'!$J$14,I59+J60,"")</f>
        <v>9930741.6270440109</v>
      </c>
      <c r="J60" s="32">
        <f>IF(B59&lt;'Умови та класичний графік'!$J$14,PPMT($J$21/12,B60,$J$12,$J$11,0,0),"")</f>
        <v>-3431.2643575735606</v>
      </c>
      <c r="K60" s="32">
        <f>IF(B59&lt;'Умови та класичний графік'!$J$14,IPMT($J$21/12,B60,$J$12,$J$11,0,0),"")</f>
        <v>-186265.74171377977</v>
      </c>
      <c r="L60" s="30">
        <f>IF(B59&lt;'Умови та класичний графік'!$J$14,-(SUM(M60:V60)),"")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графік'!$J$14,XIRR($G$35:G60,$C$35:C60,0),"")</f>
        <v>-0.23755278326246881</v>
      </c>
      <c r="X60" s="42"/>
      <c r="Y60" s="35"/>
    </row>
    <row r="61" spans="2:25" x14ac:dyDescent="0.2">
      <c r="B61" s="25">
        <v>26</v>
      </c>
      <c r="C61" s="36">
        <f>IF(B60&lt;'Умови та класичний графік'!$J$14,EDATE(C60,1),"")</f>
        <v>44986</v>
      </c>
      <c r="D61" s="36">
        <f>IF(B60&lt;'Умови та класичний графік'!$J$14,C60,"")</f>
        <v>44958</v>
      </c>
      <c r="E61" s="26">
        <f>IF(B60&lt;'Умови та класичний графік'!$J$14,C61-1,"")</f>
        <v>44985</v>
      </c>
      <c r="F61" s="37">
        <f>IF(B60&lt;'Умови та класичний графік'!$J$14,E61-D61+1,"")</f>
        <v>28</v>
      </c>
      <c r="G61" s="144">
        <f>IF(B60&lt;'Умови та класичний графік'!$J$14,-(SUM(J61:L61)),"")</f>
        <v>189697.00607135333</v>
      </c>
      <c r="H61" s="144"/>
      <c r="I61" s="32">
        <f>IF(B60&lt;'Умови та класичний графік'!$J$14,I60+J61,"")</f>
        <v>9927246.0264797322</v>
      </c>
      <c r="J61" s="32">
        <f>IF(B60&lt;'Умови та класичний графік'!$J$14,PPMT($J$21/12,B61,$J$12,$J$11,0,0),"")</f>
        <v>-3495.6005642780647</v>
      </c>
      <c r="K61" s="32">
        <f>IF(B60&lt;'Умови та класичний графік'!$J$14,IPMT($J$21/12,B61,$J$12,$J$11,0,0),"")</f>
        <v>-186201.40550707528</v>
      </c>
      <c r="L61" s="30">
        <f>IF(B60&lt;'Умови та класичний графік'!$J$14,-(SUM(M61:V61)),"")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графік'!$J$14,XIRR($G$35:G61,$C$35:C61,0),"")</f>
        <v>-0.21171067308340219</v>
      </c>
      <c r="X61" s="42"/>
      <c r="Y61" s="35"/>
    </row>
    <row r="62" spans="2:25" x14ac:dyDescent="0.2">
      <c r="B62" s="25">
        <v>27</v>
      </c>
      <c r="C62" s="36">
        <f>IF(B61&lt;'Умови та класичний графік'!$J$14,EDATE(C61,1),"")</f>
        <v>45017</v>
      </c>
      <c r="D62" s="36">
        <f>IF(B61&lt;'Умови та класичний графік'!$J$14,C61,"")</f>
        <v>44986</v>
      </c>
      <c r="E62" s="26">
        <f>IF(B61&lt;'Умови та класичний графік'!$J$14,C62-1,"")</f>
        <v>45016</v>
      </c>
      <c r="F62" s="37">
        <f>IF(B61&lt;'Умови та класичний графік'!$J$14,E62-D62+1,"")</f>
        <v>31</v>
      </c>
      <c r="G62" s="144">
        <f>IF(B61&lt;'Умови та класичний графік'!$J$14,-(SUM(J62:L62)),"")</f>
        <v>189697.0060713533</v>
      </c>
      <c r="H62" s="144"/>
      <c r="I62" s="32">
        <f>IF(B61&lt;'Умови та класичний графік'!$J$14,I61+J62,"")</f>
        <v>9923684.8834048733</v>
      </c>
      <c r="J62" s="32">
        <f>IF(B61&lt;'Умови та класичний графік'!$J$14,PPMT($J$21/12,B62,$J$12,$J$11,0,0),"")</f>
        <v>-3561.1430748582779</v>
      </c>
      <c r="K62" s="32">
        <f>IF(B61&lt;'Умови та класичний графік'!$J$14,IPMT($J$21/12,B62,$J$12,$J$11,0,0),"")</f>
        <v>-186135.86299649504</v>
      </c>
      <c r="L62" s="30">
        <f>IF(B61&lt;'Умови та класичний графік'!$J$14,-(SUM(M62:V62)),"")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графік'!$J$14,XIRR($G$35:G62,$C$35:C62,0),"")</f>
        <v>-0.18685273750644177</v>
      </c>
      <c r="X62" s="42"/>
      <c r="Y62" s="35"/>
    </row>
    <row r="63" spans="2:25" x14ac:dyDescent="0.2">
      <c r="B63" s="25">
        <v>28</v>
      </c>
      <c r="C63" s="36">
        <f>IF(B62&lt;'Умови та класичний графік'!$J$14,EDATE(C62,1),"")</f>
        <v>45047</v>
      </c>
      <c r="D63" s="36">
        <f>IF(B62&lt;'Умови та класичний графік'!$J$14,C62,"")</f>
        <v>45017</v>
      </c>
      <c r="E63" s="26">
        <f>IF(B62&lt;'Умови та класичний графік'!$J$14,C63-1,"")</f>
        <v>45046</v>
      </c>
      <c r="F63" s="37">
        <f>IF(B62&lt;'Умови та класичний графік'!$J$14,E63-D63+1,"")</f>
        <v>30</v>
      </c>
      <c r="G63" s="144">
        <f>IF(B62&lt;'Умови та класичний графік'!$J$14,-(SUM(J63:L63)),"")</f>
        <v>189697.00607135333</v>
      </c>
      <c r="H63" s="144"/>
      <c r="I63" s="32">
        <f>IF(B62&lt;'Умови та класичний графік'!$J$14,I62+J63,"")</f>
        <v>9920056.9688973613</v>
      </c>
      <c r="J63" s="32">
        <f>IF(B62&lt;'Умови та класичний графік'!$J$14,PPMT($J$21/12,B63,$J$12,$J$11,0,0),"")</f>
        <v>-3627.9145075118699</v>
      </c>
      <c r="K63" s="32">
        <f>IF(B62&lt;'Умови та класичний графік'!$J$14,IPMT($J$21/12,B63,$J$12,$J$11,0,0),"")</f>
        <v>-186069.09156384147</v>
      </c>
      <c r="L63" s="30">
        <f>IF(B62&lt;'Умови та класичний графік'!$J$14,-(SUM(M63:V63)),"")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графік'!$J$14,XIRR($G$35:G63,$C$35:C63,0),"")</f>
        <v>-0.16301337551821027</v>
      </c>
      <c r="X63" s="42"/>
      <c r="Y63" s="35"/>
    </row>
    <row r="64" spans="2:25" x14ac:dyDescent="0.2">
      <c r="B64" s="25">
        <v>29</v>
      </c>
      <c r="C64" s="36">
        <f>IF(B63&lt;'Умови та класичний графік'!$J$14,EDATE(C63,1),"")</f>
        <v>45078</v>
      </c>
      <c r="D64" s="36">
        <f>IF(B63&lt;'Умови та класичний графік'!$J$14,C63,"")</f>
        <v>45047</v>
      </c>
      <c r="E64" s="26">
        <f>IF(B63&lt;'Умови та класичний графік'!$J$14,C64-1,"")</f>
        <v>45077</v>
      </c>
      <c r="F64" s="37">
        <f>IF(B63&lt;'Умови та класичний графік'!$J$14,E64-D64+1,"")</f>
        <v>31</v>
      </c>
      <c r="G64" s="144">
        <f>IF(B63&lt;'Умови та класичний графік'!$J$14,-(SUM(J64:L64)),"")</f>
        <v>189697.00607135336</v>
      </c>
      <c r="H64" s="144"/>
      <c r="I64" s="32">
        <f>IF(B63&lt;'Умови та класичний графік'!$J$14,I63+J64,"")</f>
        <v>9916361.0309928339</v>
      </c>
      <c r="J64" s="32">
        <f>IF(B63&lt;'Умови та класичний графік'!$J$14,PPMT($J$21/12,B64,$J$12,$J$11,0,0),"")</f>
        <v>-3695.9379045277183</v>
      </c>
      <c r="K64" s="32">
        <f>IF(B63&lt;'Умови та класичний графік'!$J$14,IPMT($J$21/12,B64,$J$12,$J$11,0,0),"")</f>
        <v>-186001.06816682563</v>
      </c>
      <c r="L64" s="30">
        <f>IF(B63&lt;'Умови та класичний графік'!$J$14,-(SUM(M64:V64)),"")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графік'!$J$14,XIRR($G$35:G64,$C$35:C64,0),"")</f>
        <v>-0.1401826704951003</v>
      </c>
      <c r="X64" s="42"/>
      <c r="Y64" s="35"/>
    </row>
    <row r="65" spans="2:25" x14ac:dyDescent="0.2">
      <c r="B65" s="25">
        <v>30</v>
      </c>
      <c r="C65" s="36">
        <f>IF(B64&lt;'Умови та класичний графік'!$J$14,EDATE(C64,1),"")</f>
        <v>45108</v>
      </c>
      <c r="D65" s="36">
        <f>IF(B64&lt;'Умови та класичний графік'!$J$14,C64,"")</f>
        <v>45078</v>
      </c>
      <c r="E65" s="26">
        <f>IF(B64&lt;'Умови та класичний графік'!$J$14,C65-1,"")</f>
        <v>45107</v>
      </c>
      <c r="F65" s="37">
        <f>IF(B64&lt;'Умови та класичний графік'!$J$14,E65-D65+1,"")</f>
        <v>30</v>
      </c>
      <c r="G65" s="144">
        <f>IF(B64&lt;'Умови та класичний графік'!$J$14,-(SUM(J65:L65)),"")</f>
        <v>189697.00607135336</v>
      </c>
      <c r="H65" s="144"/>
      <c r="I65" s="32">
        <f>IF(B64&lt;'Умови та класичний графік'!$J$14,I64+J65,"")</f>
        <v>9912595.7942525968</v>
      </c>
      <c r="J65" s="32">
        <f>IF(B64&lt;'Умови та класичний графік'!$J$14,PPMT($J$21/12,B65,$J$12,$J$11,0,0),"")</f>
        <v>-3765.2367402376126</v>
      </c>
      <c r="K65" s="32">
        <f>IF(B64&lt;'Умови та класичний графік'!$J$14,IPMT($J$21/12,B65,$J$12,$J$11,0,0),"")</f>
        <v>-185931.76933111573</v>
      </c>
      <c r="L65" s="30">
        <f>IF(B64&lt;'Умови та класичний графік'!$J$14,-(SUM(M65:V65)),"")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графік'!$J$14,XIRR($G$35:G65,$C$35:C65,0),"")</f>
        <v>-0.11836124082911759</v>
      </c>
      <c r="X65" s="42"/>
      <c r="Y65" s="35"/>
    </row>
    <row r="66" spans="2:25" x14ac:dyDescent="0.2">
      <c r="B66" s="25">
        <v>31</v>
      </c>
      <c r="C66" s="36">
        <f>IF(B65&lt;'Умови та класичний графік'!$J$14,EDATE(C65,1),"")</f>
        <v>45139</v>
      </c>
      <c r="D66" s="36">
        <f>IF(B65&lt;'Умови та класичний графік'!$J$14,C65,"")</f>
        <v>45108</v>
      </c>
      <c r="E66" s="26">
        <f>IF(B65&lt;'Умови та класичний графік'!$J$14,C66-1,"")</f>
        <v>45138</v>
      </c>
      <c r="F66" s="37">
        <f>IF(B65&lt;'Умови та класичний графік'!$J$14,E66-D66+1,"")</f>
        <v>31</v>
      </c>
      <c r="G66" s="144">
        <f>IF(B65&lt;'Умови та класичний графік'!$J$14,-(SUM(J66:L66)),"")</f>
        <v>189697.0060713533</v>
      </c>
      <c r="H66" s="144"/>
      <c r="I66" s="32">
        <f>IF(B65&lt;'Умови та класичний графік'!$J$14,I65+J66,"")</f>
        <v>9908759.9593234789</v>
      </c>
      <c r="J66" s="32">
        <f>IF(B65&lt;'Умови та класичний графік'!$J$14,PPMT($J$21/12,B66,$J$12,$J$11,0,0),"")</f>
        <v>-3835.8349291170675</v>
      </c>
      <c r="K66" s="32">
        <f>IF(B65&lt;'Умови та класичний графік'!$J$14,IPMT($J$21/12,B66,$J$12,$J$11,0,0),"")</f>
        <v>-185861.17114223624</v>
      </c>
      <c r="L66" s="30">
        <f>IF(B65&lt;'Умови та класичний графік'!$J$14,-(SUM(M66:V66)),"")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графік'!$J$14,XIRR($G$35:G66,$C$35:C66,0),"")</f>
        <v>-9.7521609053798003E-2</v>
      </c>
      <c r="X66" s="42"/>
      <c r="Y66" s="35"/>
    </row>
    <row r="67" spans="2:25" x14ac:dyDescent="0.2">
      <c r="B67" s="25">
        <v>32</v>
      </c>
      <c r="C67" s="36">
        <f>IF(B66&lt;'Умови та класичний графік'!$J$14,EDATE(C66,1),"")</f>
        <v>45170</v>
      </c>
      <c r="D67" s="36">
        <f>IF(B66&lt;'Умови та класичний графік'!$J$14,C66,"")</f>
        <v>45139</v>
      </c>
      <c r="E67" s="26">
        <f>IF(B66&lt;'Умови та класичний графік'!$J$14,C67-1,"")</f>
        <v>45169</v>
      </c>
      <c r="F67" s="37">
        <f>IF(B66&lt;'Умови та класичний графік'!$J$14,E67-D67+1,"")</f>
        <v>31</v>
      </c>
      <c r="G67" s="144">
        <f>IF(B66&lt;'Умови та класичний графік'!$J$14,-(SUM(J67:L67)),"")</f>
        <v>189697.00607135333</v>
      </c>
      <c r="H67" s="144"/>
      <c r="I67" s="32">
        <f>IF(B66&lt;'Умови та класичний графік'!$J$14,I66+J67,"")</f>
        <v>9904852.2024894413</v>
      </c>
      <c r="J67" s="32">
        <f>IF(B66&lt;'Умови та класичний графік'!$J$14,PPMT($J$21/12,B67,$J$12,$J$11,0,0),"")</f>
        <v>-3907.7568340380135</v>
      </c>
      <c r="K67" s="32">
        <f>IF(B66&lt;'Умови та класичний графік'!$J$14,IPMT($J$21/12,B67,$J$12,$J$11,0,0),"")</f>
        <v>-185789.24923731532</v>
      </c>
      <c r="L67" s="30">
        <f>IF(B66&lt;'Умови та класичний графік'!$J$14,-(SUM(M67:V67)),"")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графік'!$J$14,XIRR($G$35:G67,$C$35:C67,0),"")</f>
        <v>-7.7640157064832765E-2</v>
      </c>
      <c r="X67" s="42"/>
      <c r="Y67" s="35"/>
    </row>
    <row r="68" spans="2:25" x14ac:dyDescent="0.2">
      <c r="B68" s="25">
        <v>33</v>
      </c>
      <c r="C68" s="36">
        <f>IF(B67&lt;'Умови та класичний графік'!$J$14,EDATE(C67,1),"")</f>
        <v>45200</v>
      </c>
      <c r="D68" s="36">
        <f>IF(B67&lt;'Умови та класичний графік'!$J$14,C67,"")</f>
        <v>45170</v>
      </c>
      <c r="E68" s="26">
        <f>IF(B67&lt;'Умови та класичний графік'!$J$14,C68-1,"")</f>
        <v>45199</v>
      </c>
      <c r="F68" s="37">
        <f>IF(B67&lt;'Умови та класичний графік'!$J$14,E68-D68+1,"")</f>
        <v>30</v>
      </c>
      <c r="G68" s="144">
        <f>IF(B67&lt;'Умови та класичний графік'!$J$14,-(SUM(J68:L68)),"")</f>
        <v>189697.00607135333</v>
      </c>
      <c r="H68" s="144"/>
      <c r="I68" s="32">
        <f>IF(B67&lt;'Умови та класичний графік'!$J$14,I67+J68,"")</f>
        <v>9900871.1752147656</v>
      </c>
      <c r="J68" s="32">
        <f>IF(B67&lt;'Умови та класичний графік'!$J$14,PPMT($J$21/12,B68,$J$12,$J$11,0,0),"")</f>
        <v>-3981.0272746762262</v>
      </c>
      <c r="K68" s="32">
        <f>IF(B67&lt;'Умови та класичний графік'!$J$14,IPMT($J$21/12,B68,$J$12,$J$11,0,0),"")</f>
        <v>-185715.97879667711</v>
      </c>
      <c r="L68" s="30">
        <f>IF(B67&lt;'Умови та класичний графік'!$J$14,-(SUM(M68:V68)),"")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графік'!$J$14,XIRR($G$35:G68,$C$35:C68,0),"")</f>
        <v>-5.8690919848494241E-2</v>
      </c>
      <c r="X68" s="42"/>
      <c r="Y68" s="35"/>
    </row>
    <row r="69" spans="2:25" x14ac:dyDescent="0.2">
      <c r="B69" s="25">
        <v>34</v>
      </c>
      <c r="C69" s="36">
        <f>IF(B68&lt;'Умови та класичний графік'!$J$14,EDATE(C68,1),"")</f>
        <v>45231</v>
      </c>
      <c r="D69" s="36">
        <f>IF(B68&lt;'Умови та класичний графік'!$J$14,C68,"")</f>
        <v>45200</v>
      </c>
      <c r="E69" s="26">
        <f>IF(B68&lt;'Умови та класичний графік'!$J$14,C69-1,"")</f>
        <v>45230</v>
      </c>
      <c r="F69" s="37">
        <f>IF(B68&lt;'Умови та класичний графік'!$J$14,E69-D69+1,"")</f>
        <v>31</v>
      </c>
      <c r="G69" s="144">
        <f>IF(B68&lt;'Умови та класичний графік'!$J$14,-(SUM(J69:L69)),"")</f>
        <v>189697.00607135333</v>
      </c>
      <c r="H69" s="144"/>
      <c r="I69" s="32">
        <f>IF(B68&lt;'Умови та класичний графік'!$J$14,I68+J69,"")</f>
        <v>9896815.5036786888</v>
      </c>
      <c r="J69" s="32">
        <f>IF(B68&lt;'Умови та класичний графік'!$J$14,PPMT($J$21/12,B69,$J$12,$J$11,0,0),"")</f>
        <v>-4055.6715360764047</v>
      </c>
      <c r="K69" s="32">
        <f>IF(B68&lt;'Умови та класичний графік'!$J$14,IPMT($J$21/12,B69,$J$12,$J$11,0,0),"")</f>
        <v>-185641.33453527692</v>
      </c>
      <c r="L69" s="30">
        <f>IF(B68&lt;'Умови та класичний графік'!$J$14,-(SUM(M69:V69)),"")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графік'!$J$14,XIRR($G$35:G69,$C$35:C69,0),"")</f>
        <v>-4.0636011581309132E-2</v>
      </c>
      <c r="X69" s="42"/>
      <c r="Y69" s="35"/>
    </row>
    <row r="70" spans="2:25" x14ac:dyDescent="0.2">
      <c r="B70" s="25">
        <v>35</v>
      </c>
      <c r="C70" s="36">
        <f>IF(B69&lt;'Умови та класичний графік'!$J$14,EDATE(C69,1),"")</f>
        <v>45261</v>
      </c>
      <c r="D70" s="36">
        <f>IF(B69&lt;'Умови та класичний графік'!$J$14,C69,"")</f>
        <v>45231</v>
      </c>
      <c r="E70" s="26">
        <f>IF(B69&lt;'Умови та класичний графік'!$J$14,C70-1,"")</f>
        <v>45260</v>
      </c>
      <c r="F70" s="37">
        <f>IF(B69&lt;'Умови та класичний графік'!$J$14,E70-D70+1,"")</f>
        <v>30</v>
      </c>
      <c r="G70" s="144">
        <f>IF(B69&lt;'Умови та класичний графік'!$J$14,-(SUM(J70:L70)),"")</f>
        <v>189697.00607135333</v>
      </c>
      <c r="H70" s="144"/>
      <c r="I70" s="32">
        <f>IF(B69&lt;'Умови та класичний графік'!$J$14,I69+J70,"")</f>
        <v>9892683.7883013114</v>
      </c>
      <c r="J70" s="32">
        <f>IF(B69&lt;'Умови та класичний графік'!$J$14,PPMT($J$21/12,B70,$J$12,$J$11,0,0),"")</f>
        <v>-4131.7153773778373</v>
      </c>
      <c r="K70" s="32">
        <f>IF(B69&lt;'Умови та класичний графік'!$J$14,IPMT($J$21/12,B70,$J$12,$J$11,0,0),"")</f>
        <v>-185565.29069397549</v>
      </c>
      <c r="L70" s="30">
        <f>IF(B69&lt;'Умови та класичний графік'!$J$14,-(SUM(M70:V70)),"")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графік'!$J$14,XIRR($G$35:G70,$C$35:C70,0),"")</f>
        <v>-2.3441912436373537E-2</v>
      </c>
      <c r="X70" s="42"/>
      <c r="Y70" s="35"/>
    </row>
    <row r="71" spans="2:25" x14ac:dyDescent="0.2">
      <c r="B71" s="25">
        <v>36</v>
      </c>
      <c r="C71" s="36">
        <f>IF(B70&lt;'Умови та класичний графік'!$J$14,EDATE(C70,1),"")</f>
        <v>45292</v>
      </c>
      <c r="D71" s="36">
        <f>IF(B70&lt;'Умови та класичний графік'!$J$14,C70,"")</f>
        <v>45261</v>
      </c>
      <c r="E71" s="26">
        <f>IF(B70&lt;'Умови та класичний графік'!$J$14,C71-1,"")</f>
        <v>45291</v>
      </c>
      <c r="F71" s="37">
        <f>IF(B70&lt;'Умови та класичний графік'!$J$14,E71-D71+1,"")</f>
        <v>31</v>
      </c>
      <c r="G71" s="144">
        <f>IF(B70&lt;'Умови та класичний графік'!$J$14,-(SUM(J71:L71)),"")</f>
        <v>645362.42988113523</v>
      </c>
      <c r="H71" s="144"/>
      <c r="I71" s="32">
        <f>IF(B70&lt;'Умови та класичний графік'!$J$14,I70+J71,"")</f>
        <v>9888474.6032606084</v>
      </c>
      <c r="J71" s="32">
        <f>IF(B70&lt;'Умови та класичний графік'!$J$14,PPMT($J$21/12,B71,$J$12,$J$11,0,0),"")</f>
        <v>-4209.1850407036727</v>
      </c>
      <c r="K71" s="32">
        <f>IF(B70&lt;'Умови та класичний графік'!$J$14,IPMT($J$21/12,B71,$J$12,$J$11,0,0),"")</f>
        <v>-185487.82103064965</v>
      </c>
      <c r="L71" s="30">
        <f>IF(B70&lt;'Умови та класичний графік'!$J$14,-(SUM(M71:V71)),"")</f>
        <v>-455665.42380978185</v>
      </c>
      <c r="M71" s="38"/>
      <c r="N71" s="39"/>
      <c r="O71" s="39"/>
      <c r="P71" s="32"/>
      <c r="Q71" s="40"/>
      <c r="R71" s="40"/>
      <c r="S71" s="41"/>
      <c r="T71" s="41"/>
      <c r="U71" s="33">
        <f>IF(B70&lt;'Умови та класичний графік'!$J$14,('Умови та класичний графік'!$J$15*$N$19)+(I71*$N$20),"")</f>
        <v>455665.42380978185</v>
      </c>
      <c r="V71" s="41"/>
      <c r="W71" s="43">
        <f>IF(B70&lt;'Умови та класичний графік'!$J$14,XIRR($G$35:G71,$C$35:C71,0),"")</f>
        <v>2.9256772460937504E-2</v>
      </c>
      <c r="X71" s="42"/>
      <c r="Y71" s="35"/>
    </row>
    <row r="72" spans="2:25" x14ac:dyDescent="0.2">
      <c r="B72" s="25">
        <v>37</v>
      </c>
      <c r="C72" s="36">
        <f>IF(B71&lt;'Умови та класичний графік'!$J$14,EDATE(C71,1),"")</f>
        <v>45323</v>
      </c>
      <c r="D72" s="36">
        <f>IF(B71&lt;'Умови та класичний графік'!$J$14,C71,"")</f>
        <v>45292</v>
      </c>
      <c r="E72" s="26">
        <f>IF(B71&lt;'Умови та класичний графік'!$J$14,C72-1,"")</f>
        <v>45322</v>
      </c>
      <c r="F72" s="37">
        <f>IF(B71&lt;'Умови та класичний графік'!$J$14,E72-D72+1,"")</f>
        <v>31</v>
      </c>
      <c r="G72" s="144">
        <f>IF(B71&lt;'Умови та класичний графік'!$J$14,-(SUM(J72:L72)),"")</f>
        <v>189697.00607135333</v>
      </c>
      <c r="H72" s="144"/>
      <c r="I72" s="32">
        <f>IF(B71&lt;'Умови та класичний графік'!$J$14,I71+J72,"")</f>
        <v>9884186.4960003924</v>
      </c>
      <c r="J72" s="32">
        <f>IF(B71&lt;'Умови та класичний графік'!$J$14,PPMT($J$21/12,B72,$J$12,$J$11,0,0),"")</f>
        <v>-4288.1072602168661</v>
      </c>
      <c r="K72" s="32">
        <f>IF(B71&lt;'Умови та класичний графік'!$J$14,IPMT($J$21/12,B72,$J$12,$J$11,0,0),"")</f>
        <v>-185408.89881113646</v>
      </c>
      <c r="L72" s="30">
        <f>IF(B71&lt;'Умови та класичний графік'!$J$14,-(SUM(M72:V72)),"")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графік'!$J$14,XIRR($G$35:G72,$C$35:C72,0),"")</f>
        <v>4.3277319335937495E-2</v>
      </c>
      <c r="X72" s="42"/>
      <c r="Y72" s="35"/>
    </row>
    <row r="73" spans="2:25" x14ac:dyDescent="0.2">
      <c r="B73" s="25">
        <v>38</v>
      </c>
      <c r="C73" s="36">
        <f>IF(B72&lt;'Умови та класичний графік'!$J$14,EDATE(C72,1),"")</f>
        <v>45352</v>
      </c>
      <c r="D73" s="36">
        <f>IF(B72&lt;'Умови та класичний графік'!$J$14,C72,"")</f>
        <v>45323</v>
      </c>
      <c r="E73" s="26">
        <f>IF(B72&lt;'Умови та класичний графік'!$J$14,C73-1,"")</f>
        <v>45351</v>
      </c>
      <c r="F73" s="37">
        <f>IF(B72&lt;'Умови та класичний графік'!$J$14,E73-D73+1,"")</f>
        <v>29</v>
      </c>
      <c r="G73" s="144">
        <f>IF(B72&lt;'Умови та класичний графік'!$J$14,-(SUM(J73:L73)),"")</f>
        <v>189697.00607135336</v>
      </c>
      <c r="H73" s="144"/>
      <c r="I73" s="32">
        <f>IF(B72&lt;'Умови та класичний графік'!$J$14,I72+J73,"")</f>
        <v>9879817.9867290463</v>
      </c>
      <c r="J73" s="32">
        <f>IF(B72&lt;'Умови та класичний графік'!$J$14,PPMT($J$21/12,B73,$J$12,$J$11,0,0),"")</f>
        <v>-4368.5092713459317</v>
      </c>
      <c r="K73" s="32">
        <f>IF(B72&lt;'Умови та класичний графік'!$J$14,IPMT($J$21/12,B73,$J$12,$J$11,0,0),"")</f>
        <v>-185328.49680000742</v>
      </c>
      <c r="L73" s="30">
        <f>IF(B72&lt;'Умови та класичний графік'!$J$14,-(SUM(M73:V73)),"")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графік'!$J$14,XIRR($G$35:G73,$C$35:C73,0),"")</f>
        <v>5.6685795898437502E-2</v>
      </c>
      <c r="X73" s="42"/>
      <c r="Y73" s="35"/>
    </row>
    <row r="74" spans="2:25" x14ac:dyDescent="0.2">
      <c r="B74" s="25">
        <v>39</v>
      </c>
      <c r="C74" s="36">
        <f>IF(B73&lt;'Умови та класичний графік'!$J$14,EDATE(C73,1),"")</f>
        <v>45383</v>
      </c>
      <c r="D74" s="36">
        <f>IF(B73&lt;'Умови та класичний графік'!$J$14,C73,"")</f>
        <v>45352</v>
      </c>
      <c r="E74" s="26">
        <f>IF(B73&lt;'Умови та класичний графік'!$J$14,C74-1,"")</f>
        <v>45382</v>
      </c>
      <c r="F74" s="37">
        <f>IF(B73&lt;'Умови та класичний графік'!$J$14,E74-D74+1,"")</f>
        <v>31</v>
      </c>
      <c r="G74" s="144">
        <f>IF(B73&lt;'Умови та класичний графік'!$J$14,-(SUM(J74:L74)),"")</f>
        <v>189697.00607135336</v>
      </c>
      <c r="H74" s="144"/>
      <c r="I74" s="32">
        <f>IF(B73&lt;'Умови та класичний графік'!$J$14,I73+J74,"")</f>
        <v>9875367.5679088626</v>
      </c>
      <c r="J74" s="32">
        <f>IF(B73&lt;'Умови та класичний графік'!$J$14,PPMT($J$21/12,B74,$J$12,$J$11,0,0),"")</f>
        <v>-4450.4188201836687</v>
      </c>
      <c r="K74" s="32">
        <f>IF(B73&lt;'Умови та класичний графік'!$J$14,IPMT($J$21/12,B74,$J$12,$J$11,0,0),"")</f>
        <v>-185246.58725116969</v>
      </c>
      <c r="L74" s="30">
        <f>IF(B73&lt;'Умови та класичний графік'!$J$14,-(SUM(M74:V74)),"")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графік'!$J$14,XIRR($G$35:G74,$C$35:C74,0),"")</f>
        <v>6.9501088867187519E-2</v>
      </c>
      <c r="X74" s="42"/>
      <c r="Y74" s="35"/>
    </row>
    <row r="75" spans="2:25" x14ac:dyDescent="0.2">
      <c r="B75" s="25">
        <v>40</v>
      </c>
      <c r="C75" s="36">
        <f>IF(B74&lt;'Умови та класичний графік'!$J$14,EDATE(C74,1),"")</f>
        <v>45413</v>
      </c>
      <c r="D75" s="36">
        <f>IF(B74&lt;'Умови та класичний графік'!$J$14,C74,"")</f>
        <v>45383</v>
      </c>
      <c r="E75" s="26">
        <f>IF(B74&lt;'Умови та класичний графік'!$J$14,C75-1,"")</f>
        <v>45412</v>
      </c>
      <c r="F75" s="37">
        <f>IF(B74&lt;'Умови та класичний графік'!$J$14,E75-D75+1,"")</f>
        <v>30</v>
      </c>
      <c r="G75" s="144">
        <f>IF(B74&lt;'Умови та класичний графік'!$J$14,-(SUM(J75:L75)),"")</f>
        <v>189697.00607135336</v>
      </c>
      <c r="H75" s="144"/>
      <c r="I75" s="32">
        <f>IF(B74&lt;'Умови та класичний графік'!$J$14,I74+J75,"")</f>
        <v>9870833.7037358005</v>
      </c>
      <c r="J75" s="32">
        <f>IF(B74&lt;'Умови та класичний графік'!$J$14,PPMT($J$21/12,B75,$J$12,$J$11,0,0),"")</f>
        <v>-4533.8641730621121</v>
      </c>
      <c r="K75" s="32">
        <f>IF(B74&lt;'Умови та класичний графік'!$J$14,IPMT($J$21/12,B75,$J$12,$J$11,0,0),"")</f>
        <v>-185163.14189829124</v>
      </c>
      <c r="L75" s="30">
        <f>IF(B74&lt;'Умови та класичний графік'!$J$14,-(SUM(M75:V75)),"")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графік'!$J$14,XIRR($G$35:G75,$C$35:C75,0),"")</f>
        <v>8.1747944335937503E-2</v>
      </c>
      <c r="X75" s="42"/>
      <c r="Y75" s="35"/>
    </row>
    <row r="76" spans="2:25" x14ac:dyDescent="0.2">
      <c r="B76" s="25">
        <v>41</v>
      </c>
      <c r="C76" s="36">
        <f>IF(B75&lt;'Умови та класичний графік'!$J$14,EDATE(C75,1),"")</f>
        <v>45444</v>
      </c>
      <c r="D76" s="36">
        <f>IF(B75&lt;'Умови та класичний графік'!$J$14,C75,"")</f>
        <v>45413</v>
      </c>
      <c r="E76" s="26">
        <f>IF(B75&lt;'Умови та класичний графік'!$J$14,C76-1,"")</f>
        <v>45443</v>
      </c>
      <c r="F76" s="37">
        <f>IF(B75&lt;'Умови та класичний графік'!$J$14,E76-D76+1,"")</f>
        <v>31</v>
      </c>
      <c r="G76" s="144">
        <f>IF(B75&lt;'Умови та класичний графік'!$J$14,-(SUM(J76:L76)),"")</f>
        <v>189697.00607135336</v>
      </c>
      <c r="H76" s="144"/>
      <c r="I76" s="32">
        <f>IF(B75&lt;'Умови та класичний графік'!$J$14,I75+J76,"")</f>
        <v>9866214.8296094928</v>
      </c>
      <c r="J76" s="32">
        <f>IF(B75&lt;'Умови та класичний графік'!$J$14,PPMT($J$21/12,B76,$J$12,$J$11,0,0),"")</f>
        <v>-4618.8741263070269</v>
      </c>
      <c r="K76" s="32">
        <f>IF(B75&lt;'Умови та класичний графік'!$J$14,IPMT($J$21/12,B76,$J$12,$J$11,0,0),"")</f>
        <v>-185078.13194504633</v>
      </c>
      <c r="L76" s="30">
        <f>IF(B75&lt;'Умови та класичний графік'!$J$14,-(SUM(M76:V76)),"")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графік'!$J$14,XIRR($G$35:G76,$C$35:C76,0),"")</f>
        <v>9.3446928710937502E-2</v>
      </c>
      <c r="X76" s="42"/>
      <c r="Y76" s="35"/>
    </row>
    <row r="77" spans="2:25" x14ac:dyDescent="0.2">
      <c r="B77" s="25">
        <v>42</v>
      </c>
      <c r="C77" s="36">
        <f>IF(B76&lt;'Умови та класичний графік'!$J$14,EDATE(C76,1),"")</f>
        <v>45474</v>
      </c>
      <c r="D77" s="36">
        <f>IF(B76&lt;'Умови та класичний графік'!$J$14,C76,"")</f>
        <v>45444</v>
      </c>
      <c r="E77" s="26">
        <f>IF(B76&lt;'Умови та класичний графік'!$J$14,C77-1,"")</f>
        <v>45473</v>
      </c>
      <c r="F77" s="37">
        <f>IF(B76&lt;'Умови та класичний графік'!$J$14,E77-D77+1,"")</f>
        <v>30</v>
      </c>
      <c r="G77" s="144">
        <f>IF(B76&lt;'Умови та класичний графік'!$J$14,-(SUM(J77:L77)),"")</f>
        <v>189697.00607135333</v>
      </c>
      <c r="H77" s="144"/>
      <c r="I77" s="32">
        <f>IF(B76&lt;'Умови та класичний графік'!$J$14,I76+J77,"")</f>
        <v>9861509.3515933175</v>
      </c>
      <c r="J77" s="32">
        <f>IF(B76&lt;'Умови та класичний графік'!$J$14,PPMT($J$21/12,B77,$J$12,$J$11,0,0),"")</f>
        <v>-4705.4780161752824</v>
      </c>
      <c r="K77" s="32">
        <f>IF(B76&lt;'Умови та класичний графік'!$J$14,IPMT($J$21/12,B77,$J$12,$J$11,0,0),"")</f>
        <v>-184991.52805517806</v>
      </c>
      <c r="L77" s="30">
        <f>IF(B76&lt;'Умови та класичний графік'!$J$14,-(SUM(M77:V77)),"")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графік'!$J$14,XIRR($G$35:G77,$C$35:C77,0),"")</f>
        <v>0.10462379394531252</v>
      </c>
      <c r="X77" s="42"/>
      <c r="Y77" s="35"/>
    </row>
    <row r="78" spans="2:25" x14ac:dyDescent="0.2">
      <c r="B78" s="25">
        <v>43</v>
      </c>
      <c r="C78" s="36">
        <f>IF(B77&lt;'Умови та класичний графік'!$J$14,EDATE(C77,1),"")</f>
        <v>45505</v>
      </c>
      <c r="D78" s="36">
        <f>IF(B77&lt;'Умови та класичний графік'!$J$14,C77,"")</f>
        <v>45474</v>
      </c>
      <c r="E78" s="26">
        <f>IF(B77&lt;'Умови та класичний графік'!$J$14,C78-1,"")</f>
        <v>45504</v>
      </c>
      <c r="F78" s="37">
        <f>IF(B77&lt;'Умови та класичний графік'!$J$14,E78-D78+1,"")</f>
        <v>31</v>
      </c>
      <c r="G78" s="144">
        <f>IF(B77&lt;'Умови та класичний графік'!$J$14,-(SUM(J78:L78)),"")</f>
        <v>189697.00607135333</v>
      </c>
      <c r="H78" s="144"/>
      <c r="I78" s="32">
        <f>IF(B77&lt;'Умови та класичний графік'!$J$14,I77+J78,"")</f>
        <v>9856715.6458643395</v>
      </c>
      <c r="J78" s="32">
        <f>IF(B77&lt;'Умови та класичний графік'!$J$14,PPMT($J$21/12,B78,$J$12,$J$11,0,0),"")</f>
        <v>-4793.7057289785707</v>
      </c>
      <c r="K78" s="32">
        <f>IF(B77&lt;'Умови та класичний графік'!$J$14,IPMT($J$21/12,B78,$J$12,$J$11,0,0),"")</f>
        <v>-184903.30034237477</v>
      </c>
      <c r="L78" s="30">
        <f>IF(B77&lt;'Умови та класичний графік'!$J$14,-(SUM(M78:V78)),"")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графік'!$J$14,XIRR($G$35:G78,$C$35:C78,0),"")</f>
        <v>0.11529850097656251</v>
      </c>
      <c r="X78" s="42"/>
      <c r="Y78" s="35"/>
    </row>
    <row r="79" spans="2:25" x14ac:dyDescent="0.2">
      <c r="B79" s="25">
        <v>44</v>
      </c>
      <c r="C79" s="36">
        <f>IF(B78&lt;'Умови та класичний графік'!$J$14,EDATE(C78,1),"")</f>
        <v>45536</v>
      </c>
      <c r="D79" s="36">
        <f>IF(B78&lt;'Умови та класичний графік'!$J$14,C78,"")</f>
        <v>45505</v>
      </c>
      <c r="E79" s="26">
        <f>IF(B78&lt;'Умови та класичний графік'!$J$14,C79-1,"")</f>
        <v>45535</v>
      </c>
      <c r="F79" s="37">
        <f>IF(B78&lt;'Умови та класичний графік'!$J$14,E79-D79+1,"")</f>
        <v>31</v>
      </c>
      <c r="G79" s="144">
        <f>IF(B78&lt;'Умови та класичний графік'!$J$14,-(SUM(J79:L79)),"")</f>
        <v>189697.00607135336</v>
      </c>
      <c r="H79" s="144"/>
      <c r="I79" s="32">
        <f>IF(B78&lt;'Умови та класичний графік'!$J$14,I78+J79,"")</f>
        <v>9851832.058152942</v>
      </c>
      <c r="J79" s="32">
        <f>IF(B78&lt;'Умови та класичний графік'!$J$14,PPMT($J$21/12,B79,$J$12,$J$11,0,0),"")</f>
        <v>-4883.5877113969182</v>
      </c>
      <c r="K79" s="32">
        <f>IF(B78&lt;'Умови та класичний графік'!$J$14,IPMT($J$21/12,B79,$J$12,$J$11,0,0),"")</f>
        <v>-184813.41835995644</v>
      </c>
      <c r="L79" s="30">
        <f>IF(B78&lt;'Умови та класичний графік'!$J$14,-(SUM(M79:V79)),"")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графік'!$J$14,XIRR($G$35:G79,$C$35:C79,0),"")</f>
        <v>0.12549330566406253</v>
      </c>
      <c r="X79" s="42"/>
      <c r="Y79" s="35"/>
    </row>
    <row r="80" spans="2:25" x14ac:dyDescent="0.2">
      <c r="B80" s="25">
        <v>45</v>
      </c>
      <c r="C80" s="36">
        <f>IF(B79&lt;'Умови та класичний графік'!$J$14,EDATE(C79,1),"")</f>
        <v>45566</v>
      </c>
      <c r="D80" s="36">
        <f>IF(B79&lt;'Умови та класичний графік'!$J$14,C79,"")</f>
        <v>45536</v>
      </c>
      <c r="E80" s="26">
        <f>IF(B79&lt;'Умови та класичний графік'!$J$14,C80-1,"")</f>
        <v>45565</v>
      </c>
      <c r="F80" s="37">
        <f>IF(B79&lt;'Умови та класичний графік'!$J$14,E80-D80+1,"")</f>
        <v>30</v>
      </c>
      <c r="G80" s="144">
        <f>IF(B79&lt;'Умови та класичний графік'!$J$14,-(SUM(J80:L80)),"")</f>
        <v>189697.00607135336</v>
      </c>
      <c r="H80" s="144"/>
      <c r="I80" s="32">
        <f>IF(B79&lt;'Умови та класичний графік'!$J$14,I79+J80,"")</f>
        <v>9846856.9031719565</v>
      </c>
      <c r="J80" s="32">
        <f>IF(B79&lt;'Умови та класичний графік'!$J$14,PPMT($J$21/12,B80,$J$12,$J$11,0,0),"")</f>
        <v>-4975.1549809856097</v>
      </c>
      <c r="K80" s="32">
        <f>IF(B79&lt;'Умови та класичний графік'!$J$14,IPMT($J$21/12,B80,$J$12,$J$11,0,0),"")</f>
        <v>-184721.85109036774</v>
      </c>
      <c r="L80" s="30">
        <f>IF(B79&lt;'Умови та класичний графік'!$J$14,-(SUM(M80:V80)),"")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графік'!$J$14,XIRR($G$35:G80,$C$35:C80,0),"")</f>
        <v>0.13523333496093759</v>
      </c>
      <c r="X80" s="42"/>
      <c r="Y80" s="35"/>
    </row>
    <row r="81" spans="2:25" x14ac:dyDescent="0.2">
      <c r="B81" s="25">
        <v>46</v>
      </c>
      <c r="C81" s="36">
        <f>IF(B80&lt;'Умови та класичний графік'!$J$14,EDATE(C80,1),"")</f>
        <v>45597</v>
      </c>
      <c r="D81" s="36">
        <f>IF(B80&lt;'Умови та класичний графік'!$J$14,C80,"")</f>
        <v>45566</v>
      </c>
      <c r="E81" s="26">
        <f>IF(B80&lt;'Умови та класичний графік'!$J$14,C81-1,"")</f>
        <v>45596</v>
      </c>
      <c r="F81" s="37">
        <f>IF(B80&lt;'Умови та класичний графік'!$J$14,E81-D81+1,"")</f>
        <v>31</v>
      </c>
      <c r="G81" s="144">
        <f>IF(B80&lt;'Умови та класичний графік'!$J$14,-(SUM(J81:L81)),"")</f>
        <v>189697.00607135333</v>
      </c>
      <c r="H81" s="144"/>
      <c r="I81" s="32">
        <f>IF(B80&lt;'Умови та класичний графік'!$J$14,I80+J81,"")</f>
        <v>9841788.464035077</v>
      </c>
      <c r="J81" s="32">
        <f>IF(B80&lt;'Умови та класичний графік'!$J$14,PPMT($J$21/12,B81,$J$12,$J$11,0,0),"")</f>
        <v>-5068.4391368790912</v>
      </c>
      <c r="K81" s="32">
        <f>IF(B80&lt;'Умови та класичний графік'!$J$14,IPMT($J$21/12,B81,$J$12,$J$11,0,0),"")</f>
        <v>-184628.56693447425</v>
      </c>
      <c r="L81" s="30">
        <f>IF(B80&lt;'Умови та класичний графік'!$J$14,-(SUM(M81:V81)),"")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графік'!$J$14,XIRR($G$35:G81,$C$35:C81,0),"")</f>
        <v>0.14453662597656247</v>
      </c>
      <c r="X81" s="42"/>
      <c r="Y81" s="35"/>
    </row>
    <row r="82" spans="2:25" x14ac:dyDescent="0.2">
      <c r="B82" s="25">
        <v>47</v>
      </c>
      <c r="C82" s="36">
        <f>IF(B81&lt;'Умови та класичний графік'!$J$14,EDATE(C81,1),"")</f>
        <v>45627</v>
      </c>
      <c r="D82" s="36">
        <f>IF(B81&lt;'Умови та класичний графік'!$J$14,C81,"")</f>
        <v>45597</v>
      </c>
      <c r="E82" s="26">
        <f>IF(B81&lt;'Умови та класичний графік'!$J$14,C82-1,"")</f>
        <v>45626</v>
      </c>
      <c r="F82" s="37">
        <f>IF(B81&lt;'Умови та класичний графік'!$J$14,E82-D82+1,"")</f>
        <v>30</v>
      </c>
      <c r="G82" s="144">
        <f>IF(B81&lt;'Умови та класичний графік'!$J$14,-(SUM(J82:L82)),"")</f>
        <v>189697.00607135333</v>
      </c>
      <c r="H82" s="144"/>
      <c r="I82" s="32">
        <f>IF(B81&lt;'Умови та класичний графік'!$J$14,I81+J82,"")</f>
        <v>9836624.9916643817</v>
      </c>
      <c r="J82" s="32">
        <f>IF(B81&lt;'Умови та класичний графік'!$J$14,PPMT($J$21/12,B82,$J$12,$J$11,0,0),"")</f>
        <v>-5163.4723706955747</v>
      </c>
      <c r="K82" s="32">
        <f>IF(B81&lt;'Умови та класичний графік'!$J$14,IPMT($J$21/12,B82,$J$12,$J$11,0,0),"")</f>
        <v>-184533.53370065775</v>
      </c>
      <c r="L82" s="30">
        <f>IF(B81&lt;'Умови та класичний графік'!$J$14,-(SUM(M82:V82)),"")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графік'!$J$14,XIRR($G$35:G82,$C$35:C82,0),"")</f>
        <v>0.15342707519531251</v>
      </c>
      <c r="X82" s="42"/>
      <c r="Y82" s="35"/>
    </row>
    <row r="83" spans="2:25" x14ac:dyDescent="0.2">
      <c r="B83" s="25">
        <v>48</v>
      </c>
      <c r="C83" s="36">
        <f>IF(B82&lt;'Умови та класичний графік'!$J$14,EDATE(C82,1),"")</f>
        <v>45658</v>
      </c>
      <c r="D83" s="36">
        <f>IF(B82&lt;'Умови та класичний графік'!$J$14,C82,"")</f>
        <v>45627</v>
      </c>
      <c r="E83" s="26">
        <f>IF(B82&lt;'Умови та класичний графік'!$J$14,C83-1,"")</f>
        <v>45657</v>
      </c>
      <c r="F83" s="37">
        <f>IF(B82&lt;'Умови та класичний графік'!$J$14,E83-D83+1,"")</f>
        <v>31</v>
      </c>
      <c r="G83" s="144">
        <f>IF(B82&lt;'Умови та класичний графік'!$J$14,-(SUM(J83:L83)),"")</f>
        <v>645191.10018391348</v>
      </c>
      <c r="H83" s="144"/>
      <c r="I83" s="32">
        <f>IF(B82&lt;'Умови та класичний графік'!$J$14,I82+J83,"")</f>
        <v>9831364.7041867357</v>
      </c>
      <c r="J83" s="32">
        <f>IF(B82&lt;'Умови та класичний графік'!$J$14,PPMT($J$21/12,B83,$J$12,$J$11,0,0),"")</f>
        <v>-5260.2874776461149</v>
      </c>
      <c r="K83" s="32">
        <f>IF(B82&lt;'Умови та класичний графік'!$J$14,IPMT($J$21/12,B83,$J$12,$J$11,0,0),"")</f>
        <v>-184436.71859370722</v>
      </c>
      <c r="L83" s="30">
        <f>IF(B82&lt;'Умови та класичний графік'!$J$14,-(SUM(M83:V83)),"")</f>
        <v>-455494.09411256021</v>
      </c>
      <c r="M83" s="38"/>
      <c r="N83" s="39"/>
      <c r="O83" s="39"/>
      <c r="P83" s="32"/>
      <c r="Q83" s="40"/>
      <c r="R83" s="40"/>
      <c r="S83" s="41"/>
      <c r="T83" s="41"/>
      <c r="U83" s="33">
        <f>IF(B82&lt;'Умови та класичний графік'!$J$14,('Умови та класичний графік'!$J$15*$N$19)+(I83*$N$20),"")</f>
        <v>455494.09411256021</v>
      </c>
      <c r="V83" s="41"/>
      <c r="W83" s="43">
        <f>IF(B82&lt;'Умови та класичний графік'!$J$14,XIRR($G$35:G83,$C$35:C83,0),"")</f>
        <v>0.18125148925781254</v>
      </c>
      <c r="X83" s="42"/>
      <c r="Y83" s="35"/>
    </row>
    <row r="84" spans="2:25" x14ac:dyDescent="0.2">
      <c r="B84" s="25">
        <v>49</v>
      </c>
      <c r="C84" s="36">
        <f>IF(B83&lt;'Умови та класичний графік'!$J$14,EDATE(C83,1),"")</f>
        <v>45689</v>
      </c>
      <c r="D84" s="36">
        <f>IF(B83&lt;'Умови та класичний графік'!$J$14,C83,"")</f>
        <v>45658</v>
      </c>
      <c r="E84" s="26">
        <f>IF(B83&lt;'Умови та класичний графік'!$J$14,C84-1,"")</f>
        <v>45688</v>
      </c>
      <c r="F84" s="37">
        <f>IF(B83&lt;'Умови та класичний графік'!$J$14,E84-D84+1,"")</f>
        <v>31</v>
      </c>
      <c r="G84" s="144">
        <f>IF(B83&lt;'Умови та класичний графік'!$J$14,-(SUM(J84:L84)),"")</f>
        <v>189697.00607135333</v>
      </c>
      <c r="H84" s="144"/>
      <c r="I84" s="32">
        <f>IF(B83&lt;'Умови та класичний графік'!$J$14,I83+J84,"")</f>
        <v>9826005.7863188833</v>
      </c>
      <c r="J84" s="32">
        <f>IF(B83&lt;'Умови та класичний графік'!$J$14,PPMT($J$21/12,B84,$J$12,$J$11,0,0),"")</f>
        <v>-5358.9178678519793</v>
      </c>
      <c r="K84" s="32">
        <f>IF(B83&lt;'Умови та класичний графік'!$J$14,IPMT($J$21/12,B84,$J$12,$J$11,0,0),"")</f>
        <v>-184338.08820350136</v>
      </c>
      <c r="L84" s="30">
        <f>IF(B83&lt;'Умови та класичний графік'!$J$14,-(SUM(M84:V84)),"")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графік'!$J$14,XIRR($G$35:G84,$C$35:C84,0),"")</f>
        <v>0.18879486816406255</v>
      </c>
      <c r="X84" s="42"/>
      <c r="Y84" s="35"/>
    </row>
    <row r="85" spans="2:25" x14ac:dyDescent="0.2">
      <c r="B85" s="25">
        <v>50</v>
      </c>
      <c r="C85" s="36">
        <f>IF(B84&lt;'Умови та класичний графік'!$J$14,EDATE(C84,1),"")</f>
        <v>45717</v>
      </c>
      <c r="D85" s="36">
        <f>IF(B84&lt;'Умови та класичний графік'!$J$14,C84,"")</f>
        <v>45689</v>
      </c>
      <c r="E85" s="26">
        <f>IF(B84&lt;'Умови та класичний графік'!$J$14,C85-1,"")</f>
        <v>45716</v>
      </c>
      <c r="F85" s="37">
        <f>IF(B84&lt;'Умови та класичний графік'!$J$14,E85-D85+1,"")</f>
        <v>28</v>
      </c>
      <c r="G85" s="144">
        <f>IF(B84&lt;'Умови та класичний графік'!$J$14,-(SUM(J85:L85)),"")</f>
        <v>189697.00607135333</v>
      </c>
      <c r="H85" s="144"/>
      <c r="I85" s="32">
        <f>IF(B84&lt;'Умови та класичний графік'!$J$14,I84+J85,"")</f>
        <v>9820546.3887410089</v>
      </c>
      <c r="J85" s="32">
        <f>IF(B84&lt;'Умови та класичний графік'!$J$14,PPMT($J$21/12,B85,$J$12,$J$11,0,0),"")</f>
        <v>-5459.3975778742051</v>
      </c>
      <c r="K85" s="32">
        <f>IF(B84&lt;'Умови та класичний графік'!$J$14,IPMT($J$21/12,B85,$J$12,$J$11,0,0),"")</f>
        <v>-184237.60849347911</v>
      </c>
      <c r="L85" s="30">
        <f>IF(B84&lt;'Умови та класичний графік'!$J$14,-(SUM(M85:V85)),"")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графік'!$J$14,XIRR($G$35:G85,$C$35:C85,0),"")</f>
        <v>0.1960278369140625</v>
      </c>
      <c r="X85" s="42"/>
      <c r="Y85" s="35"/>
    </row>
    <row r="86" spans="2:25" x14ac:dyDescent="0.2">
      <c r="B86" s="25">
        <v>51</v>
      </c>
      <c r="C86" s="36">
        <f>IF(B85&lt;'Умови та класичний графік'!$J$14,EDATE(C85,1),"")</f>
        <v>45748</v>
      </c>
      <c r="D86" s="36">
        <f>IF(B85&lt;'Умови та класичний графік'!$J$14,C85,"")</f>
        <v>45717</v>
      </c>
      <c r="E86" s="26">
        <f>IF(B85&lt;'Умови та класичний графік'!$J$14,C86-1,"")</f>
        <v>45747</v>
      </c>
      <c r="F86" s="37">
        <f>IF(B85&lt;'Умови та класичний графік'!$J$14,E86-D86+1,"")</f>
        <v>31</v>
      </c>
      <c r="G86" s="144">
        <f>IF(B85&lt;'Умови та класичний графік'!$J$14,-(SUM(J86:L86)),"")</f>
        <v>189697.00607135333</v>
      </c>
      <c r="H86" s="144"/>
      <c r="I86" s="32">
        <f>IF(B85&lt;'Умови та класичний графік'!$J$14,I85+J86,"")</f>
        <v>9814984.62745855</v>
      </c>
      <c r="J86" s="32">
        <f>IF(B85&lt;'Умови та класичний графік'!$J$14,PPMT($J$21/12,B86,$J$12,$J$11,0,0),"")</f>
        <v>-5561.7612824593452</v>
      </c>
      <c r="K86" s="32">
        <f>IF(B85&lt;'Умови та класичний графік'!$J$14,IPMT($J$21/12,B86,$J$12,$J$11,0,0),"")</f>
        <v>-184135.24478889399</v>
      </c>
      <c r="L86" s="30">
        <f>IF(B85&lt;'Умови та класичний графік'!$J$14,-(SUM(M86:V86)),"")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графік'!$J$14,XIRR($G$35:G86,$C$35:C86,0),"")</f>
        <v>0.20295390136718755</v>
      </c>
      <c r="X86" s="42"/>
      <c r="Y86" s="35"/>
    </row>
    <row r="87" spans="2:25" x14ac:dyDescent="0.2">
      <c r="B87" s="25">
        <v>52</v>
      </c>
      <c r="C87" s="36">
        <f>IF(B86&lt;'Умови та класичний графік'!$J$14,EDATE(C86,1),"")</f>
        <v>45778</v>
      </c>
      <c r="D87" s="36">
        <f>IF(B86&lt;'Умови та класичний графік'!$J$14,C86,"")</f>
        <v>45748</v>
      </c>
      <c r="E87" s="26">
        <f>IF(B86&lt;'Умови та класичний графік'!$J$14,C87-1,"")</f>
        <v>45777</v>
      </c>
      <c r="F87" s="37">
        <f>IF(B86&lt;'Умови та класичний графік'!$J$14,E87-D87+1,"")</f>
        <v>30</v>
      </c>
      <c r="G87" s="144">
        <f>IF(B86&lt;'Умови та класичний графік'!$J$14,-(SUM(J87:L87)),"")</f>
        <v>189697.00607135336</v>
      </c>
      <c r="H87" s="144"/>
      <c r="I87" s="32">
        <f>IF(B86&lt;'Умови та класичний графік'!$J$14,I86+J87,"")</f>
        <v>9809318.5831520446</v>
      </c>
      <c r="J87" s="32">
        <f>IF(B86&lt;'Умови та класичний графік'!$J$14,PPMT($J$21/12,B87,$J$12,$J$11,0,0),"")</f>
        <v>-5666.0443065054578</v>
      </c>
      <c r="K87" s="32">
        <f>IF(B86&lt;'Умови та класичний графік'!$J$14,IPMT($J$21/12,B87,$J$12,$J$11,0,0),"")</f>
        <v>-184030.96176484789</v>
      </c>
      <c r="L87" s="30">
        <f>IF(B86&lt;'Умови та класичний графік'!$J$14,-(SUM(M87:V87)),"")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графік'!$J$14,XIRR($G$35:G87,$C$35:C87,0),"")</f>
        <v>0.20959006347656256</v>
      </c>
      <c r="X87" s="42"/>
      <c r="Y87" s="35"/>
    </row>
    <row r="88" spans="2:25" x14ac:dyDescent="0.2">
      <c r="B88" s="25">
        <v>53</v>
      </c>
      <c r="C88" s="36">
        <f>IF(B87&lt;'Умови та класичний графік'!$J$14,EDATE(C87,1),"")</f>
        <v>45809</v>
      </c>
      <c r="D88" s="36">
        <f>IF(B87&lt;'Умови та класичний графік'!$J$14,C87,"")</f>
        <v>45778</v>
      </c>
      <c r="E88" s="26">
        <f>IF(B87&lt;'Умови та класичний графік'!$J$14,C88-1,"")</f>
        <v>45808</v>
      </c>
      <c r="F88" s="37">
        <f>IF(B87&lt;'Умови та класичний графік'!$J$14,E88-D88+1,"")</f>
        <v>31</v>
      </c>
      <c r="G88" s="144">
        <f>IF(B87&lt;'Умови та класичний графік'!$J$14,-(SUM(J88:L88)),"")</f>
        <v>189697.00607135333</v>
      </c>
      <c r="H88" s="144"/>
      <c r="I88" s="32">
        <f>IF(B87&lt;'Умови та класичний графік'!$J$14,I87+J88,"")</f>
        <v>9803546.300514793</v>
      </c>
      <c r="J88" s="32">
        <f>IF(B87&lt;'Умови та класичний графік'!$J$14,PPMT($J$21/12,B88,$J$12,$J$11,0,0),"")</f>
        <v>-5772.2826372524369</v>
      </c>
      <c r="K88" s="32">
        <f>IF(B87&lt;'Умови та класичний графік'!$J$14,IPMT($J$21/12,B88,$J$12,$J$11,0,0),"")</f>
        <v>-183924.72343410089</v>
      </c>
      <c r="L88" s="30">
        <f>IF(B87&lt;'Умови та класичний графік'!$J$14,-(SUM(M88:V88)),"")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графік'!$J$14,XIRR($G$35:G88,$C$35:C88,0),"")</f>
        <v>0.21594595214843754</v>
      </c>
      <c r="X88" s="42"/>
      <c r="Y88" s="35"/>
    </row>
    <row r="89" spans="2:25" x14ac:dyDescent="0.2">
      <c r="B89" s="25">
        <v>54</v>
      </c>
      <c r="C89" s="36">
        <f>IF(B88&lt;'Умови та класичний графік'!$J$14,EDATE(C88,1),"")</f>
        <v>45839</v>
      </c>
      <c r="D89" s="36">
        <f>IF(B88&lt;'Умови та класичний графік'!$J$14,C88,"")</f>
        <v>45809</v>
      </c>
      <c r="E89" s="26">
        <f>IF(B88&lt;'Умови та класичний графік'!$J$14,C89-1,"")</f>
        <v>45838</v>
      </c>
      <c r="F89" s="37">
        <f>IF(B88&lt;'Умови та класичний графік'!$J$14,E89-D89+1,"")</f>
        <v>30</v>
      </c>
      <c r="G89" s="144">
        <f>IF(B88&lt;'Умови та класичний графік'!$J$14,-(SUM(J89:L89)),"")</f>
        <v>189697.00607135333</v>
      </c>
      <c r="H89" s="144"/>
      <c r="I89" s="32">
        <f>IF(B88&lt;'Умови та класичний графік'!$J$14,I88+J89,"")</f>
        <v>9797665.7875780929</v>
      </c>
      <c r="J89" s="32">
        <f>IF(B88&lt;'Умови та класичний графік'!$J$14,PPMT($J$21/12,B89,$J$12,$J$11,0,0),"")</f>
        <v>-5880.5129367009204</v>
      </c>
      <c r="K89" s="32">
        <f>IF(B88&lt;'Умови та класичний графік'!$J$14,IPMT($J$21/12,B89,$J$12,$J$11,0,0),"")</f>
        <v>-183816.49313465241</v>
      </c>
      <c r="L89" s="30">
        <f>IF(B88&lt;'Умови та класичний графік'!$J$14,-(SUM(M89:V89)),"")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графік'!$J$14,XIRR($G$35:G89,$C$35:C89,0),"")</f>
        <v>0.22203749511718751</v>
      </c>
      <c r="X89" s="42"/>
      <c r="Y89" s="35"/>
    </row>
    <row r="90" spans="2:25" x14ac:dyDescent="0.2">
      <c r="B90" s="25">
        <v>55</v>
      </c>
      <c r="C90" s="36">
        <f>IF(B89&lt;'Умови та класичний графік'!$J$14,EDATE(C89,1),"")</f>
        <v>45870</v>
      </c>
      <c r="D90" s="36">
        <f>IF(B89&lt;'Умови та класичний графік'!$J$14,C89,"")</f>
        <v>45839</v>
      </c>
      <c r="E90" s="26">
        <f>IF(B89&lt;'Умови та класичний графік'!$J$14,C90-1,"")</f>
        <v>45869</v>
      </c>
      <c r="F90" s="37">
        <f>IF(B89&lt;'Умови та класичний графік'!$J$14,E90-D90+1,"")</f>
        <v>31</v>
      </c>
      <c r="G90" s="144">
        <f>IF(B89&lt;'Умови та класичний графік'!$J$14,-(SUM(J90:L90)),"")</f>
        <v>189697.00607135333</v>
      </c>
      <c r="H90" s="144"/>
      <c r="I90" s="32">
        <f>IF(B89&lt;'Умови та класичний графік'!$J$14,I89+J90,"")</f>
        <v>9791675.0150238294</v>
      </c>
      <c r="J90" s="32">
        <f>IF(B89&lt;'Умови та класичний графік'!$J$14,PPMT($J$21/12,B90,$J$12,$J$11,0,0),"")</f>
        <v>-5990.772554264061</v>
      </c>
      <c r="K90" s="32">
        <f>IF(B89&lt;'Умови та класичний графік'!$J$14,IPMT($J$21/12,B90,$J$12,$J$11,0,0),"")</f>
        <v>-183706.23351708928</v>
      </c>
      <c r="L90" s="30">
        <f>IF(B89&lt;'Умови та класичний графік'!$J$14,-(SUM(M90:V90)),"")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графік'!$J$14,XIRR($G$35:G90,$C$35:C90,0),"")</f>
        <v>0.22787342285156253</v>
      </c>
      <c r="X90" s="42"/>
      <c r="Y90" s="35"/>
    </row>
    <row r="91" spans="2:25" x14ac:dyDescent="0.2">
      <c r="B91" s="25">
        <v>56</v>
      </c>
      <c r="C91" s="36">
        <f>IF(B90&lt;'Умови та класичний графік'!$J$14,EDATE(C90,1),"")</f>
        <v>45901</v>
      </c>
      <c r="D91" s="36">
        <f>IF(B90&lt;'Умови та класичний графік'!$J$14,C90,"")</f>
        <v>45870</v>
      </c>
      <c r="E91" s="26">
        <f>IF(B90&lt;'Умови та класичний графік'!$J$14,C91-1,"")</f>
        <v>45900</v>
      </c>
      <c r="F91" s="37">
        <f>IF(B90&lt;'Умови та класичний графік'!$J$14,E91-D91+1,"")</f>
        <v>31</v>
      </c>
      <c r="G91" s="144">
        <f>IF(B90&lt;'Умови та класичний графік'!$J$14,-(SUM(J91:L91)),"")</f>
        <v>189697.00607135333</v>
      </c>
      <c r="H91" s="144"/>
      <c r="I91" s="32">
        <f>IF(B90&lt;'Умови та класичний графік'!$J$14,I90+J91,"")</f>
        <v>9785571.9154841732</v>
      </c>
      <c r="J91" s="32">
        <f>IF(B90&lt;'Умови та класичний графік'!$J$14,PPMT($J$21/12,B91,$J$12,$J$11,0,0),"")</f>
        <v>-6103.099539656514</v>
      </c>
      <c r="K91" s="32">
        <f>IF(B90&lt;'Умови та класичний графік'!$J$14,IPMT($J$21/12,B91,$J$12,$J$11,0,0),"")</f>
        <v>-183593.90653169682</v>
      </c>
      <c r="L91" s="30">
        <f>IF(B90&lt;'Умови та класичний графік'!$J$14,-(SUM(M91:V91)),"")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графік'!$J$14,XIRR($G$35:G91,$C$35:C91,0),"")</f>
        <v>0.23346533691406257</v>
      </c>
      <c r="X91" s="42"/>
      <c r="Y91" s="35"/>
    </row>
    <row r="92" spans="2:25" x14ac:dyDescent="0.2">
      <c r="B92" s="25">
        <v>57</v>
      </c>
      <c r="C92" s="36">
        <f>IF(B91&lt;'Умови та класичний графік'!$J$14,EDATE(C91,1),"")</f>
        <v>45931</v>
      </c>
      <c r="D92" s="36">
        <f>IF(B91&lt;'Умови та класичний графік'!$J$14,C91,"")</f>
        <v>45901</v>
      </c>
      <c r="E92" s="26">
        <f>IF(B91&lt;'Умови та класичний графік'!$J$14,C92-1,"")</f>
        <v>45930</v>
      </c>
      <c r="F92" s="37">
        <f>IF(B91&lt;'Умови та класичний графік'!$J$14,E92-D92+1,"")</f>
        <v>30</v>
      </c>
      <c r="G92" s="144">
        <f>IF(B91&lt;'Умови та класичний графік'!$J$14,-(SUM(J92:L92)),"")</f>
        <v>189697.00607135333</v>
      </c>
      <c r="H92" s="144"/>
      <c r="I92" s="32">
        <f>IF(B91&lt;'Умови та класичний графік'!$J$14,I91+J92,"")</f>
        <v>9779354.3828281481</v>
      </c>
      <c r="J92" s="32">
        <f>IF(B91&lt;'Умови та класичний графік'!$J$14,PPMT($J$21/12,B92,$J$12,$J$11,0,0),"")</f>
        <v>-6217.5326560250733</v>
      </c>
      <c r="K92" s="32">
        <f>IF(B91&lt;'Умови та класичний графік'!$J$14,IPMT($J$21/12,B92,$J$12,$J$11,0,0),"")</f>
        <v>-183479.47341532825</v>
      </c>
      <c r="L92" s="30">
        <f>IF(B91&lt;'Умови та класичний графік'!$J$14,-(SUM(M92:V92)),"")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графік'!$J$14,XIRR($G$35:G92,$C$35:C92,0),"")</f>
        <v>0.23882747558593753</v>
      </c>
      <c r="X92" s="42"/>
      <c r="Y92" s="35"/>
    </row>
    <row r="93" spans="2:25" x14ac:dyDescent="0.2">
      <c r="B93" s="25">
        <v>58</v>
      </c>
      <c r="C93" s="36">
        <f>IF(B92&lt;'Умови та класичний графік'!$J$14,EDATE(C92,1),"")</f>
        <v>45962</v>
      </c>
      <c r="D93" s="36">
        <f>IF(B92&lt;'Умови та класичний графік'!$J$14,C92,"")</f>
        <v>45931</v>
      </c>
      <c r="E93" s="26">
        <f>IF(B92&lt;'Умови та класичний графік'!$J$14,C93-1,"")</f>
        <v>45961</v>
      </c>
      <c r="F93" s="37">
        <f>IF(B92&lt;'Умови та класичний графік'!$J$14,E93-D93+1,"")</f>
        <v>31</v>
      </c>
      <c r="G93" s="144">
        <f>IF(B92&lt;'Умови та класичний графік'!$J$14,-(SUM(J93:L93)),"")</f>
        <v>189697.00607135336</v>
      </c>
      <c r="H93" s="144"/>
      <c r="I93" s="32">
        <f>IF(B92&lt;'Умови та класичний графік'!$J$14,I92+J93,"")</f>
        <v>9773020.2714348231</v>
      </c>
      <c r="J93" s="32">
        <f>IF(B92&lt;'Умови та класичний графік'!$J$14,PPMT($J$21/12,B93,$J$12,$J$11,0,0),"")</f>
        <v>-6334.1113933255428</v>
      </c>
      <c r="K93" s="32">
        <f>IF(B92&lt;'Умови та класичний графік'!$J$14,IPMT($J$21/12,B93,$J$12,$J$11,0,0),"")</f>
        <v>-183362.89467802781</v>
      </c>
      <c r="L93" s="30">
        <f>IF(B92&lt;'Умови та класичний графік'!$J$14,-(SUM(M93:V93)),"")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графік'!$J$14,XIRR($G$35:G93,$C$35:C93,0),"")</f>
        <v>0.2439672802734375</v>
      </c>
      <c r="X93" s="42"/>
      <c r="Y93" s="35"/>
    </row>
    <row r="94" spans="2:25" x14ac:dyDescent="0.2">
      <c r="B94" s="25">
        <v>59</v>
      </c>
      <c r="C94" s="36">
        <f>IF(B93&lt;'Умови та класичний графік'!$J$14,EDATE(C93,1),"")</f>
        <v>45992</v>
      </c>
      <c r="D94" s="36">
        <f>IF(B93&lt;'Умови та класичний графік'!$J$14,C93,"")</f>
        <v>45962</v>
      </c>
      <c r="E94" s="26">
        <f>IF(B93&lt;'Умови та класичний графік'!$J$14,C94-1,"")</f>
        <v>45991</v>
      </c>
      <c r="F94" s="37">
        <f>IF(B93&lt;'Умови та класичний графік'!$J$14,E94-D94+1,"")</f>
        <v>30</v>
      </c>
      <c r="G94" s="144">
        <f>IF(B93&lt;'Умови та класичний графік'!$J$14,-(SUM(J94:L94)),"")</f>
        <v>189697.00607135336</v>
      </c>
      <c r="H94" s="144"/>
      <c r="I94" s="32">
        <f>IF(B93&lt;'Умови та класичний графік'!$J$14,I93+J94,"")</f>
        <v>9766567.3954528719</v>
      </c>
      <c r="J94" s="32">
        <f>IF(B93&lt;'Умови та класичний графік'!$J$14,PPMT($J$21/12,B94,$J$12,$J$11,0,0),"")</f>
        <v>-6452.8759819503948</v>
      </c>
      <c r="K94" s="32">
        <f>IF(B93&lt;'Умови та класичний графік'!$J$14,IPMT($J$21/12,B94,$J$12,$J$11,0,0),"")</f>
        <v>-183244.13008940296</v>
      </c>
      <c r="L94" s="30">
        <f>IF(B93&lt;'Умови та класичний графік'!$J$14,-(SUM(M94:V94)),"")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графік'!$J$14,XIRR($G$35:G94,$C$35:C94,0),"")</f>
        <v>0.24889785644531248</v>
      </c>
      <c r="X94" s="42"/>
      <c r="Y94" s="35"/>
    </row>
    <row r="95" spans="2:25" x14ac:dyDescent="0.2">
      <c r="B95" s="25">
        <v>60</v>
      </c>
      <c r="C95" s="36">
        <f>IF(B94&lt;'Умови та класичний графік'!$J$14,EDATE(C94,1),"")</f>
        <v>46023</v>
      </c>
      <c r="D95" s="36">
        <f>IF(B94&lt;'Умови та класичний графік'!$J$14,C94,"")</f>
        <v>45992</v>
      </c>
      <c r="E95" s="26">
        <f>IF(B94&lt;'Умови та класичний графік'!$J$14,C95-1,"")</f>
        <v>46022</v>
      </c>
      <c r="F95" s="37">
        <f>IF(B94&lt;'Умови та класичний графік'!$J$14,E95-D95+1,"")</f>
        <v>31</v>
      </c>
      <c r="G95" s="144">
        <f>IF(B94&lt;'Умови та класичний графік'!$J$14,-(SUM(J95:L95)),"")</f>
        <v>644976.9866554921</v>
      </c>
      <c r="H95" s="144"/>
      <c r="I95" s="32">
        <f>IF(B94&lt;'Умови та класичний графік'!$J$14,I94+J95,"")</f>
        <v>9759993.5280462597</v>
      </c>
      <c r="J95" s="32">
        <f>IF(B94&lt;'Умови та класичний графік'!$J$14,PPMT($J$21/12,B95,$J$12,$J$11,0,0),"")</f>
        <v>-6573.8674066119684</v>
      </c>
      <c r="K95" s="32">
        <f>IF(B94&lt;'Умови та класичний графік'!$J$14,IPMT($J$21/12,B95,$J$12,$J$11,0,0),"")</f>
        <v>-183123.13866474139</v>
      </c>
      <c r="L95" s="30">
        <f>IF(B94&lt;'Умови та класичний графік'!$J$14,-(SUM(M95:V95)),"")</f>
        <v>-455279.98058413877</v>
      </c>
      <c r="M95" s="38"/>
      <c r="N95" s="39"/>
      <c r="O95" s="39"/>
      <c r="P95" s="32"/>
      <c r="Q95" s="40"/>
      <c r="R95" s="40"/>
      <c r="S95" s="41"/>
      <c r="T95" s="41"/>
      <c r="U95" s="33">
        <f>IF(B94&lt;'Умови та класичний графік'!$J$14,('Умови та класичний графік'!$J$15*$N$19)+(I95*$N$20),"")</f>
        <v>455279.98058413877</v>
      </c>
      <c r="V95" s="41"/>
      <c r="W95" s="43">
        <f>IF(B94&lt;'Умови та класичний графік'!$J$14,XIRR($G$35:G95,$C$35:C95,0),"")</f>
        <v>0.26455504394531248</v>
      </c>
      <c r="X95" s="42"/>
      <c r="Y95" s="35"/>
    </row>
    <row r="96" spans="2:25" x14ac:dyDescent="0.2">
      <c r="B96" s="25">
        <v>61</v>
      </c>
      <c r="C96" s="36">
        <f>IF(B95&lt;'Умови та класичний графік'!$J$14,EDATE(C95,1),"")</f>
        <v>46054</v>
      </c>
      <c r="D96" s="36">
        <f>IF(B95&lt;'Умови та класичний графік'!$J$14,C95,"")</f>
        <v>46023</v>
      </c>
      <c r="E96" s="26">
        <f>IF(B95&lt;'Умови та класичний графік'!$J$14,C96-1,"")</f>
        <v>46053</v>
      </c>
      <c r="F96" s="37">
        <f>IF(B95&lt;'Умови та класичний графік'!$J$14,E96-D96+1,"")</f>
        <v>31</v>
      </c>
      <c r="G96" s="144">
        <f>IF(B95&lt;'Умови та класичний графік'!$J$14,-(SUM(J96:L96)),"")</f>
        <v>189697.00607135336</v>
      </c>
      <c r="H96" s="144"/>
      <c r="I96" s="32">
        <f>IF(B95&lt;'Умови та класичний графік'!$J$14,I95+J96,"")</f>
        <v>9753296.4006257746</v>
      </c>
      <c r="J96" s="32">
        <f>IF(B95&lt;'Умови та класичний графік'!$J$14,PPMT($J$21/12,B96,$J$12,$J$11,0,0),"")</f>
        <v>-6697.127420485941</v>
      </c>
      <c r="K96" s="32">
        <f>IF(B95&lt;'Умови та класичний графік'!$J$14,IPMT($J$21/12,B96,$J$12,$J$11,0,0),"")</f>
        <v>-182999.87865086741</v>
      </c>
      <c r="L96" s="30">
        <f>IF(B95&lt;'Умови та класичний графік'!$J$14,-(SUM(M96:V96)),"")</f>
        <v>0</v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>
        <f>IF(B95&lt;'Умови та класичний графік'!$J$14,XIRR($G$35:G96,$C$35:C96,0),"")</f>
        <v>0.26886029785156251</v>
      </c>
      <c r="X96" s="42"/>
      <c r="Y96" s="35"/>
    </row>
    <row r="97" spans="2:25" x14ac:dyDescent="0.2">
      <c r="B97" s="25">
        <v>62</v>
      </c>
      <c r="C97" s="36">
        <f>IF(B96&lt;'Умови та класичний графік'!$J$14,EDATE(C96,1),"")</f>
        <v>46082</v>
      </c>
      <c r="D97" s="36">
        <f>IF(B96&lt;'Умови та класичний графік'!$J$14,C96,"")</f>
        <v>46054</v>
      </c>
      <c r="E97" s="26">
        <f>IF(B96&lt;'Умови та класичний графік'!$J$14,C97-1,"")</f>
        <v>46081</v>
      </c>
      <c r="F97" s="37">
        <f>IF(B96&lt;'Умови та класичний графік'!$J$14,E97-D97+1,"")</f>
        <v>28</v>
      </c>
      <c r="G97" s="144">
        <f>IF(B96&lt;'Умови та класичний графік'!$J$14,-(SUM(J97:L97)),"")</f>
        <v>189697.0060713533</v>
      </c>
      <c r="H97" s="144"/>
      <c r="I97" s="32">
        <f>IF(B96&lt;'Умови та класичний графік'!$J$14,I96+J97,"")</f>
        <v>9746473.7020661552</v>
      </c>
      <c r="J97" s="32">
        <f>IF(B96&lt;'Умови та класичний графік'!$J$14,PPMT($J$21/12,B97,$J$12,$J$11,0,0),"")</f>
        <v>-6822.6985596200511</v>
      </c>
      <c r="K97" s="32">
        <f>IF(B96&lt;'Умови та класичний графік'!$J$14,IPMT($J$21/12,B97,$J$12,$J$11,0,0),"")</f>
        <v>-182874.30751173326</v>
      </c>
      <c r="L97" s="30">
        <f>IF(B96&lt;'Умови та класичний графік'!$J$14,-(SUM(M97:V97)),"")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графік'!$J$14,XIRR($G$35:G97,$C$35:C97,0),"")</f>
        <v>0.27300175292968754</v>
      </c>
      <c r="X97" s="42"/>
      <c r="Y97" s="35"/>
    </row>
    <row r="98" spans="2:25" x14ac:dyDescent="0.2">
      <c r="B98" s="25">
        <v>63</v>
      </c>
      <c r="C98" s="36">
        <f>IF(B97&lt;'Умови та класичний графік'!$J$14,EDATE(C97,1),"")</f>
        <v>46113</v>
      </c>
      <c r="D98" s="36">
        <f>IF(B97&lt;'Умови та класичний графік'!$J$14,C97,"")</f>
        <v>46082</v>
      </c>
      <c r="E98" s="26">
        <f>IF(B97&lt;'Умови та класичний графік'!$J$14,C98-1,"")</f>
        <v>46112</v>
      </c>
      <c r="F98" s="37">
        <f>IF(B97&lt;'Умови та класичний графік'!$J$14,E98-D98+1,"")</f>
        <v>31</v>
      </c>
      <c r="G98" s="144">
        <f>IF(B97&lt;'Умови та класичний графік'!$J$14,-(SUM(J98:L98)),"")</f>
        <v>189697.00607135333</v>
      </c>
      <c r="H98" s="144"/>
      <c r="I98" s="32">
        <f>IF(B97&lt;'Умови та класичний графік'!$J$14,I97+J98,"")</f>
        <v>9739523.077908542</v>
      </c>
      <c r="J98" s="32">
        <f>IF(B97&lt;'Умови та класичний графік'!$J$14,PPMT($J$21/12,B98,$J$12,$J$11,0,0),"")</f>
        <v>-6950.6241576129296</v>
      </c>
      <c r="K98" s="32">
        <f>IF(B97&lt;'Умови та класичний графік'!$J$14,IPMT($J$21/12,B98,$J$12,$J$11,0,0),"")</f>
        <v>-182746.38191374039</v>
      </c>
      <c r="L98" s="30">
        <f>IF(B97&lt;'Умови та класичний графік'!$J$14,-(SUM(M98:V98)),"")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графік'!$J$14,XIRR($G$35:G98,$C$35:C98,0),"")</f>
        <v>0.27697850097656251</v>
      </c>
      <c r="X98" s="42"/>
      <c r="Y98" s="35"/>
    </row>
    <row r="99" spans="2:25" x14ac:dyDescent="0.2">
      <c r="B99" s="25">
        <v>64</v>
      </c>
      <c r="C99" s="36">
        <f>IF(B98&lt;'Умови та класичний графік'!$J$14,EDATE(C98,1),"")</f>
        <v>46143</v>
      </c>
      <c r="D99" s="36">
        <f>IF(B98&lt;'Умови та класичний графік'!$J$14,C98,"")</f>
        <v>46113</v>
      </c>
      <c r="E99" s="26">
        <f>IF(B98&lt;'Умови та класичний графік'!$J$14,C99-1,"")</f>
        <v>46142</v>
      </c>
      <c r="F99" s="37">
        <f>IF(B98&lt;'Умови та класичний графік'!$J$14,E99-D99+1,"")</f>
        <v>30</v>
      </c>
      <c r="G99" s="144">
        <f>IF(B98&lt;'Умови та класичний графік'!$J$14,-(SUM(J99:L99)),"")</f>
        <v>189697.00607135333</v>
      </c>
      <c r="H99" s="144"/>
      <c r="I99" s="32">
        <f>IF(B98&lt;'Умови та класичний графік'!$J$14,I98+J99,"")</f>
        <v>9732442.1295479741</v>
      </c>
      <c r="J99" s="32">
        <f>IF(B98&lt;'Умови та класичний графік'!$J$14,PPMT($J$21/12,B99,$J$12,$J$11,0,0),"")</f>
        <v>-7080.9483605681717</v>
      </c>
      <c r="K99" s="32">
        <f>IF(B98&lt;'Умови та класичний графік'!$J$14,IPMT($J$21/12,B99,$J$12,$J$11,0,0),"")</f>
        <v>-182616.05771078516</v>
      </c>
      <c r="L99" s="30">
        <f>IF(B98&lt;'Умови та класичний графік'!$J$14,-(SUM(M99:V99)),"")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графік'!$J$14,XIRR($G$35:G99,$C$35:C99,0),"")</f>
        <v>0.2808002880859376</v>
      </c>
      <c r="X99" s="42"/>
      <c r="Y99" s="35"/>
    </row>
    <row r="100" spans="2:25" x14ac:dyDescent="0.2">
      <c r="B100" s="25">
        <v>65</v>
      </c>
      <c r="C100" s="36">
        <f>IF(B99&lt;'Умови та класичний графік'!$J$14,EDATE(C99,1),"")</f>
        <v>46174</v>
      </c>
      <c r="D100" s="36">
        <f>IF(B99&lt;'Умови та класичний графік'!$J$14,C99,"")</f>
        <v>46143</v>
      </c>
      <c r="E100" s="26">
        <f>IF(B99&lt;'Умови та класичний графік'!$J$14,C100-1,"")</f>
        <v>46173</v>
      </c>
      <c r="F100" s="37">
        <f>IF(B99&lt;'Умови та класичний графік'!$J$14,E100-D100+1,"")</f>
        <v>31</v>
      </c>
      <c r="G100" s="144">
        <f>IF(B99&lt;'Умови та класичний графік'!$J$14,-(SUM(J100:L100)),"")</f>
        <v>189697.00607135333</v>
      </c>
      <c r="H100" s="144"/>
      <c r="I100" s="32">
        <f>IF(B99&lt;'Умови та класичний графік'!$J$14,I99+J100,"")</f>
        <v>9725228.4134056456</v>
      </c>
      <c r="J100" s="32">
        <f>IF(B99&lt;'Умови та класичний графік'!$J$14,PPMT($J$21/12,B100,$J$12,$J$11,0,0),"")</f>
        <v>-7213.7161423288244</v>
      </c>
      <c r="K100" s="32">
        <f>IF(B99&lt;'Умови та класичний графік'!$J$14,IPMT($J$21/12,B100,$J$12,$J$11,0,0),"")</f>
        <v>-182483.2899290245</v>
      </c>
      <c r="L100" s="30">
        <f>IF(B99&lt;'Умови та класичний графік'!$J$14,-(SUM(M100:V100)),"")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графік'!$J$14,XIRR($G$35:G100,$C$35:C100,0),"")</f>
        <v>0.28447131347656263</v>
      </c>
      <c r="X100" s="42"/>
      <c r="Y100" s="35"/>
    </row>
    <row r="101" spans="2:25" x14ac:dyDescent="0.2">
      <c r="B101" s="25">
        <v>66</v>
      </c>
      <c r="C101" s="36">
        <f>IF(B100&lt;'Умови та класичний графік'!$J$14,EDATE(C100,1),"")</f>
        <v>46204</v>
      </c>
      <c r="D101" s="36">
        <f>IF(B100&lt;'Умови та класичний графік'!$J$14,C100,"")</f>
        <v>46174</v>
      </c>
      <c r="E101" s="26">
        <f>IF(B100&lt;'Умови та класичний графік'!$J$14,C101-1,"")</f>
        <v>46203</v>
      </c>
      <c r="F101" s="37">
        <f>IF(B100&lt;'Умови та класичний графік'!$J$14,E101-D101+1,"")</f>
        <v>30</v>
      </c>
      <c r="G101" s="144">
        <f>IF(B100&lt;'Умови та класичний графік'!$J$14,-(SUM(J101:L101)),"")</f>
        <v>189697.00607135333</v>
      </c>
      <c r="H101" s="144"/>
      <c r="I101" s="32">
        <f>IF(B100&lt;'Умови та класичний графік'!$J$14,I100+J101,"")</f>
        <v>9717879.4400856476</v>
      </c>
      <c r="J101" s="32">
        <f>IF(B100&lt;'Умови та класичний графік'!$J$14,PPMT($J$21/12,B101,$J$12,$J$11,0,0),"")</f>
        <v>-7348.9733199974871</v>
      </c>
      <c r="K101" s="32">
        <f>IF(B100&lt;'Умови та класичний графік'!$J$14,IPMT($J$21/12,B101,$J$12,$J$11,0,0),"")</f>
        <v>-182348.03275135584</v>
      </c>
      <c r="L101" s="30">
        <f>IF(B100&lt;'Умови та класичний графік'!$J$14,-(SUM(M101:V101)),"")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графік'!$J$14,XIRR($G$35:G101,$C$35:C101,0),"")</f>
        <v>0.28800056152343745</v>
      </c>
      <c r="X101" s="42"/>
      <c r="Y101" s="35"/>
    </row>
    <row r="102" spans="2:25" x14ac:dyDescent="0.2">
      <c r="B102" s="25">
        <v>67</v>
      </c>
      <c r="C102" s="36">
        <f>IF(B101&lt;'Умови та класичний графік'!$J$14,EDATE(C101,1),"")</f>
        <v>46235</v>
      </c>
      <c r="D102" s="36">
        <f>IF(B101&lt;'Умови та класичний графік'!$J$14,C101,"")</f>
        <v>46204</v>
      </c>
      <c r="E102" s="26">
        <f>IF(B101&lt;'Умови та класичний графік'!$J$14,C102-1,"")</f>
        <v>46234</v>
      </c>
      <c r="F102" s="37">
        <f>IF(B101&lt;'Умови та класичний графік'!$J$14,E102-D102+1,"")</f>
        <v>31</v>
      </c>
      <c r="G102" s="144">
        <f>IF(B101&lt;'Умови та класичний графік'!$J$14,-(SUM(J102:L102)),"")</f>
        <v>189697.00607135333</v>
      </c>
      <c r="H102" s="144"/>
      <c r="I102" s="32">
        <f>IF(B101&lt;'Умови та класичний графік'!$J$14,I101+J102,"")</f>
        <v>9710392.673515901</v>
      </c>
      <c r="J102" s="32">
        <f>IF(B101&lt;'Умови та класичний графік'!$J$14,PPMT($J$21/12,B102,$J$12,$J$11,0,0),"")</f>
        <v>-7486.7665697474431</v>
      </c>
      <c r="K102" s="32">
        <f>IF(B101&lt;'Умови та класичний графік'!$J$14,IPMT($J$21/12,B102,$J$12,$J$11,0,0),"")</f>
        <v>-182210.23950160589</v>
      </c>
      <c r="L102" s="30">
        <f>IF(B101&lt;'Умови та класичний графік'!$J$14,-(SUM(M102:V102)),"")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графік'!$J$14,XIRR($G$35:G102,$C$35:C102,0),"")</f>
        <v>0.29139177246093739</v>
      </c>
      <c r="X102" s="42"/>
      <c r="Y102" s="35"/>
    </row>
    <row r="103" spans="2:25" x14ac:dyDescent="0.2">
      <c r="B103" s="25">
        <v>68</v>
      </c>
      <c r="C103" s="36">
        <f>IF(B102&lt;'Умови та класичний графік'!$J$14,EDATE(C102,1),"")</f>
        <v>46266</v>
      </c>
      <c r="D103" s="36">
        <f>IF(B102&lt;'Умови та класичний графік'!$J$14,C102,"")</f>
        <v>46235</v>
      </c>
      <c r="E103" s="26">
        <f>IF(B102&lt;'Умови та класичний графік'!$J$14,C103-1,"")</f>
        <v>46265</v>
      </c>
      <c r="F103" s="37">
        <f>IF(B102&lt;'Умови та класичний графік'!$J$14,E103-D103+1,"")</f>
        <v>31</v>
      </c>
      <c r="G103" s="144">
        <f>IF(B102&lt;'Умови та класичний графік'!$J$14,-(SUM(J103:L103)),"")</f>
        <v>189697.00607135336</v>
      </c>
      <c r="H103" s="144"/>
      <c r="I103" s="32">
        <f>IF(B102&lt;'Умови та класичний графік'!$J$14,I102+J103,"")</f>
        <v>9702765.5300729703</v>
      </c>
      <c r="J103" s="32">
        <f>IF(B102&lt;'Умови та класичний графік'!$J$14,PPMT($J$21/12,B103,$J$12,$J$11,0,0),"")</f>
        <v>-7627.1434429302062</v>
      </c>
      <c r="K103" s="32">
        <f>IF(B102&lt;'Умови та класичний графік'!$J$14,IPMT($J$21/12,B103,$J$12,$J$11,0,0),"")</f>
        <v>-182069.86262842314</v>
      </c>
      <c r="L103" s="30">
        <f>IF(B102&lt;'Умови та класичний графік'!$J$14,-(SUM(M103:V103)),"")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графік'!$J$14,XIRR($G$35:G103,$C$35:C103,0),"")</f>
        <v>0.29465093261718756</v>
      </c>
      <c r="X103" s="42"/>
      <c r="Y103" s="35"/>
    </row>
    <row r="104" spans="2:25" x14ac:dyDescent="0.2">
      <c r="B104" s="25">
        <v>69</v>
      </c>
      <c r="C104" s="36">
        <f>IF(B103&lt;'Умови та класичний графік'!$J$14,EDATE(C103,1),"")</f>
        <v>46296</v>
      </c>
      <c r="D104" s="36">
        <f>IF(B103&lt;'Умови та класичний графік'!$J$14,C103,"")</f>
        <v>46266</v>
      </c>
      <c r="E104" s="26">
        <f>IF(B103&lt;'Умови та класичний графік'!$J$14,C104-1,"")</f>
        <v>46295</v>
      </c>
      <c r="F104" s="37">
        <f>IF(B103&lt;'Умови та класичний графік'!$J$14,E104-D104+1,"")</f>
        <v>30</v>
      </c>
      <c r="G104" s="144">
        <f>IF(B103&lt;'Умови та класичний графік'!$J$14,-(SUM(J104:L104)),"")</f>
        <v>189697.00607135333</v>
      </c>
      <c r="H104" s="144"/>
      <c r="I104" s="32">
        <f>IF(B103&lt;'Умови та класичний графік'!$J$14,I103+J104,"")</f>
        <v>9694995.3776904847</v>
      </c>
      <c r="J104" s="32">
        <f>IF(B103&lt;'Умови та класичний графік'!$J$14,PPMT($J$21/12,B104,$J$12,$J$11,0,0),"")</f>
        <v>-7770.1523824851465</v>
      </c>
      <c r="K104" s="32">
        <f>IF(B103&lt;'Умови та класичний графік'!$J$14,IPMT($J$21/12,B104,$J$12,$J$11,0,0),"")</f>
        <v>-181926.8536888682</v>
      </c>
      <c r="L104" s="30">
        <f>IF(B103&lt;'Умови та класичний графік'!$J$14,-(SUM(M104:V104)),"")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графік'!$J$14,XIRR($G$35:G104,$C$35:C104,0),"")</f>
        <v>0.29778598144531243</v>
      </c>
      <c r="X104" s="42"/>
      <c r="Y104" s="35"/>
    </row>
    <row r="105" spans="2:25" x14ac:dyDescent="0.2">
      <c r="B105" s="25">
        <v>70</v>
      </c>
      <c r="C105" s="36">
        <f>IF(B104&lt;'Умови та класичний графік'!$J$14,EDATE(C104,1),"")</f>
        <v>46327</v>
      </c>
      <c r="D105" s="36">
        <f>IF(B104&lt;'Умови та класичний графік'!$J$14,C104,"")</f>
        <v>46296</v>
      </c>
      <c r="E105" s="26">
        <f>IF(B104&lt;'Умови та класичний графік'!$J$14,C105-1,"")</f>
        <v>46326</v>
      </c>
      <c r="F105" s="37">
        <f>IF(B104&lt;'Умови та класичний графік'!$J$14,E105-D105+1,"")</f>
        <v>31</v>
      </c>
      <c r="G105" s="144">
        <f>IF(B104&lt;'Умови та класичний графік'!$J$14,-(SUM(J105:L105)),"")</f>
        <v>189697.00607135333</v>
      </c>
      <c r="H105" s="144"/>
      <c r="I105" s="32">
        <f>IF(B104&lt;'Умови та класичний графік'!$J$14,I104+J105,"")</f>
        <v>9687079.5349508282</v>
      </c>
      <c r="J105" s="32">
        <f>IF(B104&lt;'Умови та класичний графік'!$J$14,PPMT($J$21/12,B105,$J$12,$J$11,0,0),"")</f>
        <v>-7915.8427396567467</v>
      </c>
      <c r="K105" s="32">
        <f>IF(B104&lt;'Умови та класичний графік'!$J$14,IPMT($J$21/12,B105,$J$12,$J$11,0,0),"")</f>
        <v>-181781.16333169659</v>
      </c>
      <c r="L105" s="30">
        <f>IF(B104&lt;'Умови та класичний графік'!$J$14,-(SUM(M105:V105)),"")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графік'!$J$14,XIRR($G$35:G105,$C$35:C105,0),"")</f>
        <v>0.30080005371093743</v>
      </c>
      <c r="X105" s="42"/>
      <c r="Y105" s="35"/>
    </row>
    <row r="106" spans="2:25" x14ac:dyDescent="0.2">
      <c r="B106" s="25">
        <v>71</v>
      </c>
      <c r="C106" s="36">
        <f>IF(B105&lt;'Умови та класичний графік'!$J$14,EDATE(C105,1),"")</f>
        <v>46357</v>
      </c>
      <c r="D106" s="36">
        <f>IF(B105&lt;'Умови та класичний графік'!$J$14,C105,"")</f>
        <v>46327</v>
      </c>
      <c r="E106" s="26">
        <f>IF(B105&lt;'Умови та класичний графік'!$J$14,C106-1,"")</f>
        <v>46356</v>
      </c>
      <c r="F106" s="37">
        <f>IF(B105&lt;'Умови та класичний графік'!$J$14,E106-D106+1,"")</f>
        <v>30</v>
      </c>
      <c r="G106" s="144">
        <f>IF(B105&lt;'Умови та класичний графік'!$J$14,-(SUM(J106:L106)),"")</f>
        <v>189697.00607135333</v>
      </c>
      <c r="H106" s="144"/>
      <c r="I106" s="32">
        <f>IF(B105&lt;'Умови та класичний графік'!$J$14,I105+J106,"")</f>
        <v>9679015.2701598033</v>
      </c>
      <c r="J106" s="32">
        <f>IF(B105&lt;'Умови та класичний графік'!$J$14,PPMT($J$21/12,B106,$J$12,$J$11,0,0),"")</f>
        <v>-8064.264791025309</v>
      </c>
      <c r="K106" s="32">
        <f>IF(B105&lt;'Умови та класичний графік'!$J$14,IPMT($J$21/12,B106,$J$12,$J$11,0,0),"")</f>
        <v>-181632.74128032802</v>
      </c>
      <c r="L106" s="30">
        <f>IF(B105&lt;'Умови та класичний графік'!$J$14,-(SUM(M106:V106)),"")</f>
        <v>0</v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>
        <f>IF(B105&lt;'Умови та класичний графік'!$J$14,XIRR($G$35:G106,$C$35:C106,0),"")</f>
        <v>0.30370044433593757</v>
      </c>
      <c r="X106" s="42"/>
      <c r="Y106" s="35"/>
    </row>
    <row r="107" spans="2:25" x14ac:dyDescent="0.2">
      <c r="B107" s="25">
        <v>72</v>
      </c>
      <c r="C107" s="36">
        <f>IF(B106&lt;'Умови та класичний графік'!$J$14,EDATE(C106,1),"")</f>
        <v>46388</v>
      </c>
      <c r="D107" s="36">
        <f>IF(B106&lt;'Умови та класичний графік'!$J$14,C106,"")</f>
        <v>46357</v>
      </c>
      <c r="E107" s="26">
        <f>IF(B106&lt;'Умови та класичний графік'!$J$14,C107-1,"")</f>
        <v>46387</v>
      </c>
      <c r="F107" s="37">
        <f>IF(B106&lt;'Умови та класичний графік'!$J$14,E107-D107+1,"")</f>
        <v>31</v>
      </c>
      <c r="G107" s="144">
        <f>IF(B106&lt;'Умови та класичний графік'!$J$14,-(SUM(J107:L107)),"")</f>
        <v>644709.40547256521</v>
      </c>
      <c r="H107" s="144"/>
      <c r="I107" s="32">
        <f>IF(B106&lt;'Умови та класичний графік'!$J$14,I106+J107,"")</f>
        <v>9670799.800403947</v>
      </c>
      <c r="J107" s="32">
        <f>IF(B106&lt;'Умови та класичний графік'!$J$14,PPMT($J$21/12,B107,$J$12,$J$11,0,0),"")</f>
        <v>-8215.4697558570333</v>
      </c>
      <c r="K107" s="32">
        <f>IF(B106&lt;'Умови та класичний графік'!$J$14,IPMT($J$21/12,B107,$J$12,$J$11,0,0),"")</f>
        <v>-181481.53631549631</v>
      </c>
      <c r="L107" s="30">
        <f>IF(B106&lt;'Умови та класичний графік'!$J$14,-(SUM(M107:V107)),"")</f>
        <v>-455012.39940121182</v>
      </c>
      <c r="M107" s="38"/>
      <c r="N107" s="39"/>
      <c r="O107" s="39"/>
      <c r="P107" s="32"/>
      <c r="Q107" s="40"/>
      <c r="R107" s="40"/>
      <c r="S107" s="41"/>
      <c r="T107" s="41"/>
      <c r="U107" s="33">
        <f>IF(B106&lt;'Умови та класичний графік'!$J$14,('Умови та класичний графік'!$J$15*$N$19)+(I107*$N$20),"")</f>
        <v>455012.39940121182</v>
      </c>
      <c r="V107" s="41"/>
      <c r="W107" s="43">
        <f>IF(B106&lt;'Умови та класичний графік'!$J$14,XIRR($G$35:G107,$C$35:C107,0),"")</f>
        <v>0.31300244628906249</v>
      </c>
      <c r="X107" s="42"/>
      <c r="Y107" s="35"/>
    </row>
    <row r="108" spans="2:25" x14ac:dyDescent="0.2">
      <c r="B108" s="25">
        <v>73</v>
      </c>
      <c r="C108" s="36">
        <f>IF(B107&lt;'Умови та класичний графік'!$J$14,EDATE(C107,1),"")</f>
        <v>46419</v>
      </c>
      <c r="D108" s="36">
        <f>IF(B107&lt;'Умови та класичний графік'!$J$14,C107,"")</f>
        <v>46388</v>
      </c>
      <c r="E108" s="26">
        <f>IF(B107&lt;'Умови та класичний графік'!$J$14,C108-1,"")</f>
        <v>46418</v>
      </c>
      <c r="F108" s="37">
        <f>IF(B107&lt;'Умови та класичний графік'!$J$14,E108-D108+1,"")</f>
        <v>31</v>
      </c>
      <c r="G108" s="144">
        <f>IF(B107&lt;'Умови та класичний графік'!$J$14,-(SUM(J108:L108)),"")</f>
        <v>189697.00607135336</v>
      </c>
      <c r="H108" s="144"/>
      <c r="I108" s="32">
        <f>IF(B107&lt;'Умови та класичний графік'!$J$14,I107+J108,"")</f>
        <v>9662430.290590167</v>
      </c>
      <c r="J108" s="32">
        <f>IF(B107&lt;'Умови та класичний графік'!$J$14,PPMT($J$21/12,B108,$J$12,$J$11,0,0),"")</f>
        <v>-8369.5098137793502</v>
      </c>
      <c r="K108" s="32">
        <f>IF(B107&lt;'Умови та класичний графік'!$J$14,IPMT($J$21/12,B108,$J$12,$J$11,0,0),"")</f>
        <v>-181327.49625757401</v>
      </c>
      <c r="L108" s="30">
        <f>IF(B107&lt;'Умови та класичний графік'!$J$14,-(SUM(M108:V108)),"")</f>
        <v>0</v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>
        <f>IF(B107&lt;'Умови та класичний графік'!$J$14,XIRR($G$35:G108,$C$35:C108,0),"")</f>
        <v>0.31558662597656262</v>
      </c>
      <c r="X108" s="42"/>
      <c r="Y108" s="35"/>
    </row>
    <row r="109" spans="2:25" x14ac:dyDescent="0.2">
      <c r="B109" s="25">
        <v>74</v>
      </c>
      <c r="C109" s="36">
        <f>IF(B108&lt;'Умови та класичний графік'!$J$14,EDATE(C108,1),"")</f>
        <v>46447</v>
      </c>
      <c r="D109" s="36">
        <f>IF(B108&lt;'Умови та класичний графік'!$J$14,C108,"")</f>
        <v>46419</v>
      </c>
      <c r="E109" s="26">
        <f>IF(B108&lt;'Умови та класичний графік'!$J$14,C109-1,"")</f>
        <v>46446</v>
      </c>
      <c r="F109" s="37">
        <f>IF(B108&lt;'Умови та класичний графік'!$J$14,E109-D109+1,"")</f>
        <v>28</v>
      </c>
      <c r="G109" s="144">
        <f>IF(B108&lt;'Умови та класичний графік'!$J$14,-(SUM(J109:L109)),"")</f>
        <v>189697.00607135333</v>
      </c>
      <c r="H109" s="144"/>
      <c r="I109" s="32">
        <f>IF(B108&lt;'Умови та класичний графік'!$J$14,I108+J109,"")</f>
        <v>9653903.8524673786</v>
      </c>
      <c r="J109" s="32">
        <f>IF(B108&lt;'Умови та класичний графік'!$J$14,PPMT($J$21/12,B109,$J$12,$J$11,0,0),"")</f>
        <v>-8526.4381227877166</v>
      </c>
      <c r="K109" s="32">
        <f>IF(B108&lt;'Умови та класичний графік'!$J$14,IPMT($J$21/12,B109,$J$12,$J$11,0,0),"")</f>
        <v>-181170.56794856561</v>
      </c>
      <c r="L109" s="30">
        <f>IF(B108&lt;'Умови та класичний графік'!$J$14,-(SUM(M109:V109)),"")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графік'!$J$14,XIRR($G$35:G109,$C$35:C109,0),"")</f>
        <v>0.31807942871093753</v>
      </c>
      <c r="X109" s="42"/>
      <c r="Y109" s="35"/>
    </row>
    <row r="110" spans="2:25" x14ac:dyDescent="0.2">
      <c r="B110" s="25">
        <v>75</v>
      </c>
      <c r="C110" s="36">
        <f>IF(B109&lt;'Умови та класичний графік'!$J$14,EDATE(C109,1),"")</f>
        <v>46478</v>
      </c>
      <c r="D110" s="36">
        <f>IF(B109&lt;'Умови та класичний графік'!$J$14,C109,"")</f>
        <v>46447</v>
      </c>
      <c r="E110" s="26">
        <f>IF(B109&lt;'Умови та класичний графік'!$J$14,C110-1,"")</f>
        <v>46477</v>
      </c>
      <c r="F110" s="37">
        <f>IF(B109&lt;'Умови та класичний графік'!$J$14,E110-D110+1,"")</f>
        <v>31</v>
      </c>
      <c r="G110" s="144">
        <f>IF(B109&lt;'Умови та класичний графік'!$J$14,-(SUM(J110:L110)),"")</f>
        <v>189697.00607135333</v>
      </c>
      <c r="H110" s="144"/>
      <c r="I110" s="32">
        <f>IF(B109&lt;'Умови та класичний графік'!$J$14,I109+J110,"")</f>
        <v>9645217.5436297879</v>
      </c>
      <c r="J110" s="32">
        <f>IF(B109&lt;'Умови та класичний графік'!$J$14,PPMT($J$21/12,B110,$J$12,$J$11,0,0),"")</f>
        <v>-8686.3088375899843</v>
      </c>
      <c r="K110" s="32">
        <f>IF(B109&lt;'Умови та класичний графік'!$J$14,IPMT($J$21/12,B110,$J$12,$J$11,0,0),"")</f>
        <v>-181010.69723376335</v>
      </c>
      <c r="L110" s="30">
        <f>IF(B109&lt;'Умови та класичний графік'!$J$14,-(SUM(M110:V110)),"")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графік'!$J$14,XIRR($G$35:G110,$C$35:C110,0),"")</f>
        <v>0.32047903808593747</v>
      </c>
      <c r="X110" s="42"/>
      <c r="Y110" s="35"/>
    </row>
    <row r="111" spans="2:25" x14ac:dyDescent="0.2">
      <c r="B111" s="25">
        <v>76</v>
      </c>
      <c r="C111" s="36">
        <f>IF(B110&lt;'Умови та класичний графік'!$J$14,EDATE(C110,1),"")</f>
        <v>46508</v>
      </c>
      <c r="D111" s="36">
        <f>IF(B110&lt;'Умови та класичний графік'!$J$14,C110,"")</f>
        <v>46478</v>
      </c>
      <c r="E111" s="26">
        <f>IF(B110&lt;'Умови та класичний графік'!$J$14,C111-1,"")</f>
        <v>46507</v>
      </c>
      <c r="F111" s="37">
        <f>IF(B110&lt;'Умови та класичний графік'!$J$14,E111-D111+1,"")</f>
        <v>30</v>
      </c>
      <c r="G111" s="144">
        <f>IF(B110&lt;'Умови та класичний графік'!$J$14,-(SUM(J111:L111)),"")</f>
        <v>189697.00607135333</v>
      </c>
      <c r="H111" s="144"/>
      <c r="I111" s="32">
        <f>IF(B110&lt;'Умови та класичний графік'!$J$14,I110+J111,"")</f>
        <v>9636368.3665014934</v>
      </c>
      <c r="J111" s="32">
        <f>IF(B110&lt;'Умови та класичний графік'!$J$14,PPMT($J$21/12,B111,$J$12,$J$11,0,0),"")</f>
        <v>-8849.1771282947957</v>
      </c>
      <c r="K111" s="32">
        <f>IF(B110&lt;'Умови та класичний графік'!$J$14,IPMT($J$21/12,B111,$J$12,$J$11,0,0),"")</f>
        <v>-180847.82894305853</v>
      </c>
      <c r="L111" s="30">
        <f>IF(B110&lt;'Умови та класичний графік'!$J$14,-(SUM(M111:V111)),"")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графік'!$J$14,XIRR($G$35:G111,$C$35:C111,0),"")</f>
        <v>0.32279108886718755</v>
      </c>
      <c r="X111" s="42"/>
      <c r="Y111" s="35"/>
    </row>
    <row r="112" spans="2:25" x14ac:dyDescent="0.2">
      <c r="B112" s="25">
        <v>77</v>
      </c>
      <c r="C112" s="36">
        <f>IF(B111&lt;'Умови та класичний графік'!$J$14,EDATE(C111,1),"")</f>
        <v>46539</v>
      </c>
      <c r="D112" s="36">
        <f>IF(B111&lt;'Умови та класичний графік'!$J$14,C111,"")</f>
        <v>46508</v>
      </c>
      <c r="E112" s="26">
        <f>IF(B111&lt;'Умови та класичний графік'!$J$14,C112-1,"")</f>
        <v>46538</v>
      </c>
      <c r="F112" s="37">
        <f>IF(B111&lt;'Умови та класичний графік'!$J$14,E112-D112+1,"")</f>
        <v>31</v>
      </c>
      <c r="G112" s="144">
        <f>IF(B111&lt;'Умови та класичний графік'!$J$14,-(SUM(J112:L112)),"")</f>
        <v>189697.00607135333</v>
      </c>
      <c r="H112" s="144"/>
      <c r="I112" s="32">
        <f>IF(B111&lt;'Умови та класичний графік'!$J$14,I111+J112,"")</f>
        <v>9627353.2673020437</v>
      </c>
      <c r="J112" s="32">
        <f>IF(B111&lt;'Умови та класичний графік'!$J$14,PPMT($J$21/12,B112,$J$12,$J$11,0,0),"")</f>
        <v>-9015.0991994503256</v>
      </c>
      <c r="K112" s="32">
        <f>IF(B111&lt;'Умови та класичний графік'!$J$14,IPMT($J$21/12,B112,$J$12,$J$11,0,0),"")</f>
        <v>-180681.90687190302</v>
      </c>
      <c r="L112" s="30">
        <f>IF(B111&lt;'Умови та класичний графік'!$J$14,-(SUM(M112:V112)),"")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графік'!$J$14,XIRR($G$35:G112,$C$35:C112,0),"")</f>
        <v>0.32501743652343751</v>
      </c>
      <c r="X112" s="42"/>
      <c r="Y112" s="35"/>
    </row>
    <row r="113" spans="2:25" x14ac:dyDescent="0.2">
      <c r="B113" s="25">
        <v>78</v>
      </c>
      <c r="C113" s="36">
        <f>IF(B112&lt;'Умови та класичний графік'!$J$14,EDATE(C112,1),"")</f>
        <v>46569</v>
      </c>
      <c r="D113" s="36">
        <f>IF(B112&lt;'Умови та класичний графік'!$J$14,C112,"")</f>
        <v>46539</v>
      </c>
      <c r="E113" s="26">
        <f>IF(B112&lt;'Умови та класичний графік'!$J$14,C113-1,"")</f>
        <v>46568</v>
      </c>
      <c r="F113" s="37">
        <f>IF(B112&lt;'Умови та класичний графік'!$J$14,E113-D113+1,"")</f>
        <v>30</v>
      </c>
      <c r="G113" s="144">
        <f>IF(B112&lt;'Умови та класичний графік'!$J$14,-(SUM(J113:L113)),"")</f>
        <v>189697.00607135333</v>
      </c>
      <c r="H113" s="144"/>
      <c r="I113" s="32">
        <f>IF(B112&lt;'Умови та класичний графік'!$J$14,I112+J113,"")</f>
        <v>9618169.1349926032</v>
      </c>
      <c r="J113" s="32">
        <f>IF(B112&lt;'Умови та класичний графік'!$J$14,PPMT($J$21/12,B113,$J$12,$J$11,0,0),"")</f>
        <v>-9184.1323094400195</v>
      </c>
      <c r="K113" s="32">
        <f>IF(B112&lt;'Умови та класичний графік'!$J$14,IPMT($J$21/12,B113,$J$12,$J$11,0,0),"")</f>
        <v>-180512.8737619133</v>
      </c>
      <c r="L113" s="30">
        <f>IF(B112&lt;'Умови та класичний графік'!$J$14,-(SUM(M113:V113)),"")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графік'!$J$14,XIRR($G$35:G113,$C$35:C113,0),"")</f>
        <v>0.32716323730468755</v>
      </c>
      <c r="X113" s="42"/>
      <c r="Y113" s="35"/>
    </row>
    <row r="114" spans="2:25" x14ac:dyDescent="0.2">
      <c r="B114" s="25">
        <v>79</v>
      </c>
      <c r="C114" s="36">
        <f>IF(B113&lt;'Умови та класичний графік'!$J$14,EDATE(C113,1),"")</f>
        <v>46600</v>
      </c>
      <c r="D114" s="36">
        <f>IF(B113&lt;'Умови та класичний графік'!$J$14,C113,"")</f>
        <v>46569</v>
      </c>
      <c r="E114" s="26">
        <f>IF(B113&lt;'Умови та класичний графік'!$J$14,C114-1,"")</f>
        <v>46599</v>
      </c>
      <c r="F114" s="37">
        <f>IF(B113&lt;'Умови та класичний графік'!$J$14,E114-D114+1,"")</f>
        <v>31</v>
      </c>
      <c r="G114" s="144">
        <f>IF(B113&lt;'Умови та класичний графік'!$J$14,-(SUM(J114:L114)),"")</f>
        <v>189697.00607135336</v>
      </c>
      <c r="H114" s="144"/>
      <c r="I114" s="32">
        <f>IF(B113&lt;'Умови та класичний графік'!$J$14,I113+J114,"")</f>
        <v>9608812.8002023604</v>
      </c>
      <c r="J114" s="32">
        <f>IF(B113&lt;'Умови та класичний графік'!$J$14,PPMT($J$21/12,B114,$J$12,$J$11,0,0),"")</f>
        <v>-9356.3347902420173</v>
      </c>
      <c r="K114" s="32">
        <f>IF(B113&lt;'Умови та класичний графік'!$J$14,IPMT($J$21/12,B114,$J$12,$J$11,0,0),"")</f>
        <v>-180340.67128111134</v>
      </c>
      <c r="L114" s="30">
        <f>IF(B113&lt;'Умови та класичний графік'!$J$14,-(SUM(M114:V114)),"")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графік'!$J$14,XIRR($G$35:G114,$C$35:C114,0),"")</f>
        <v>0.32923015136718747</v>
      </c>
      <c r="X114" s="42"/>
      <c r="Y114" s="35"/>
    </row>
    <row r="115" spans="2:25" x14ac:dyDescent="0.2">
      <c r="B115" s="25">
        <v>80</v>
      </c>
      <c r="C115" s="36">
        <f>IF(B114&lt;'Умови та класичний графік'!$J$14,EDATE(C114,1),"")</f>
        <v>46631</v>
      </c>
      <c r="D115" s="36">
        <f>IF(B114&lt;'Умови та класичний графік'!$J$14,C114,"")</f>
        <v>46600</v>
      </c>
      <c r="E115" s="26">
        <f>IF(B114&lt;'Умови та класичний графік'!$J$14,C115-1,"")</f>
        <v>46630</v>
      </c>
      <c r="F115" s="37">
        <f>IF(B114&lt;'Умови та класичний графік'!$J$14,E115-D115+1,"")</f>
        <v>31</v>
      </c>
      <c r="G115" s="144">
        <f>IF(B114&lt;'Умови та класичний графік'!$J$14,-(SUM(J115:L115)),"")</f>
        <v>189697.00607135333</v>
      </c>
      <c r="H115" s="144"/>
      <c r="I115" s="32">
        <f>IF(B114&lt;'Умови та класичний графік'!$J$14,I114+J115,"")</f>
        <v>9599281.0341348015</v>
      </c>
      <c r="J115" s="32">
        <f>IF(B114&lt;'Умови та класичний графік'!$J$14,PPMT($J$21/12,B115,$J$12,$J$11,0,0),"")</f>
        <v>-9531.7660675590541</v>
      </c>
      <c r="K115" s="32">
        <f>IF(B114&lt;'Умови та класичний графік'!$J$14,IPMT($J$21/12,B115,$J$12,$J$11,0,0),"")</f>
        <v>-180165.24000379429</v>
      </c>
      <c r="L115" s="30">
        <f>IF(B114&lt;'Умови та класичний графік'!$J$14,-(SUM(M115:V115)),"")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графік'!$J$14,XIRR($G$35:G115,$C$35:C115,0),"")</f>
        <v>0.33122141113281245</v>
      </c>
      <c r="X115" s="42"/>
      <c r="Y115" s="35"/>
    </row>
    <row r="116" spans="2:25" x14ac:dyDescent="0.2">
      <c r="B116" s="25">
        <v>81</v>
      </c>
      <c r="C116" s="36">
        <f>IF(B115&lt;'Умови та класичний графік'!$J$14,EDATE(C115,1),"")</f>
        <v>46661</v>
      </c>
      <c r="D116" s="36">
        <f>IF(B115&lt;'Умови та класичний графік'!$J$14,C115,"")</f>
        <v>46631</v>
      </c>
      <c r="E116" s="26">
        <f>IF(B115&lt;'Умови та класичний графік'!$J$14,C116-1,"")</f>
        <v>46660</v>
      </c>
      <c r="F116" s="37">
        <f>IF(B115&lt;'Умови та класичний графік'!$J$14,E116-D116+1,"")</f>
        <v>30</v>
      </c>
      <c r="G116" s="144">
        <f>IF(B115&lt;'Умови та класичний графік'!$J$14,-(SUM(J116:L116)),"")</f>
        <v>189697.00607135336</v>
      </c>
      <c r="H116" s="144"/>
      <c r="I116" s="32">
        <f>IF(B115&lt;'Умови та класичний графік'!$J$14,I115+J116,"")</f>
        <v>9589570.5474534761</v>
      </c>
      <c r="J116" s="32">
        <f>IF(B115&lt;'Умови та класичний графік'!$J$14,PPMT($J$21/12,B116,$J$12,$J$11,0,0),"")</f>
        <v>-9710.4866813257904</v>
      </c>
      <c r="K116" s="32">
        <f>IF(B115&lt;'Умови та класичний графік'!$J$14,IPMT($J$21/12,B116,$J$12,$J$11,0,0),"")</f>
        <v>-179986.51939002756</v>
      </c>
      <c r="L116" s="30">
        <f>IF(B115&lt;'Умови та класичний графік'!$J$14,-(SUM(M116:V116)),"")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графік'!$J$14,XIRR($G$35:G116,$C$35:C116,0),"")</f>
        <v>0.33314157714843751</v>
      </c>
      <c r="X116" s="42"/>
      <c r="Y116" s="35"/>
    </row>
    <row r="117" spans="2:25" x14ac:dyDescent="0.2">
      <c r="B117" s="25">
        <v>82</v>
      </c>
      <c r="C117" s="36">
        <f>IF(B116&lt;'Умови та класичний графік'!$J$14,EDATE(C116,1),"")</f>
        <v>46692</v>
      </c>
      <c r="D117" s="36">
        <f>IF(B116&lt;'Умови та класичний графік'!$J$14,C116,"")</f>
        <v>46661</v>
      </c>
      <c r="E117" s="26">
        <f>IF(B116&lt;'Умови та класичний графік'!$J$14,C117-1,"")</f>
        <v>46691</v>
      </c>
      <c r="F117" s="37">
        <f>IF(B116&lt;'Умови та класичний графік'!$J$14,E117-D117+1,"")</f>
        <v>31</v>
      </c>
      <c r="G117" s="144">
        <f>IF(B116&lt;'Умови та класичний графік'!$J$14,-(SUM(J117:L117)),"")</f>
        <v>189697.0060713533</v>
      </c>
      <c r="H117" s="144"/>
      <c r="I117" s="32">
        <f>IF(B116&lt;'Умови та класичний графік'!$J$14,I116+J117,"")</f>
        <v>9579677.9891468752</v>
      </c>
      <c r="J117" s="32">
        <f>IF(B116&lt;'Умови та класичний графік'!$J$14,PPMT($J$21/12,B117,$J$12,$J$11,0,0),"")</f>
        <v>-9892.5583066006457</v>
      </c>
      <c r="K117" s="32">
        <f>IF(B116&lt;'Умови та класичний графік'!$J$14,IPMT($J$21/12,B117,$J$12,$J$11,0,0),"")</f>
        <v>-179804.44776475267</v>
      </c>
      <c r="L117" s="30">
        <f>IF(B116&lt;'Умови та класичний графік'!$J$14,-(SUM(M117:V117)),"")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графік'!$J$14,XIRR($G$35:G117,$C$35:C117,0),"")</f>
        <v>0.3349920263671875</v>
      </c>
      <c r="X117" s="42"/>
      <c r="Y117" s="35"/>
    </row>
    <row r="118" spans="2:25" x14ac:dyDescent="0.2">
      <c r="B118" s="25">
        <v>83</v>
      </c>
      <c r="C118" s="36">
        <f>IF(B117&lt;'Умови та класичний графік'!$J$14,EDATE(C117,1),"")</f>
        <v>46722</v>
      </c>
      <c r="D118" s="36">
        <f>IF(B117&lt;'Умови та класичний графік'!$J$14,C117,"")</f>
        <v>46692</v>
      </c>
      <c r="E118" s="26">
        <f>IF(B117&lt;'Умови та класичний графік'!$J$14,C118-1,"")</f>
        <v>46721</v>
      </c>
      <c r="F118" s="37">
        <f>IF(B117&lt;'Умови та класичний графік'!$J$14,E118-D118+1,"")</f>
        <v>30</v>
      </c>
      <c r="G118" s="144">
        <f>IF(B117&lt;'Умови та класичний графік'!$J$14,-(SUM(J118:L118)),"")</f>
        <v>189697.00607135336</v>
      </c>
      <c r="H118" s="144"/>
      <c r="I118" s="32">
        <f>IF(B117&lt;'Умови та класичний графік'!$J$14,I117+J118,"")</f>
        <v>9569599.9453720264</v>
      </c>
      <c r="J118" s="32">
        <f>IF(B117&lt;'Умови та класичний графік'!$J$14,PPMT($J$21/12,B118,$J$12,$J$11,0,0),"")</f>
        <v>-10078.043774849408</v>
      </c>
      <c r="K118" s="32">
        <f>IF(B117&lt;'Умови та класичний графік'!$J$14,IPMT($J$21/12,B118,$J$12,$J$11,0,0),"")</f>
        <v>-179618.96229650395</v>
      </c>
      <c r="L118" s="30">
        <f>IF(B117&lt;'Умови та класичний графік'!$J$14,-(SUM(M118:V118)),"")</f>
        <v>0</v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>
        <f>IF(B117&lt;'Умови та класичний графік'!$J$14,XIRR($G$35:G118,$C$35:C118,0),"")</f>
        <v>0.3367769970703125</v>
      </c>
      <c r="X118" s="42"/>
      <c r="Y118" s="35"/>
    </row>
    <row r="119" spans="2:25" x14ac:dyDescent="0.2">
      <c r="B119" s="25">
        <v>84</v>
      </c>
      <c r="C119" s="36">
        <f>IF(B118&lt;'Умови та класичний графік'!$J$14,EDATE(C118,1),"")</f>
        <v>46753</v>
      </c>
      <c r="D119" s="36">
        <f>IF(B118&lt;'Умови та класичний графік'!$J$14,C118,"")</f>
        <v>46722</v>
      </c>
      <c r="E119" s="26">
        <f>IF(B118&lt;'Умови та класичний графік'!$J$14,C119-1,"")</f>
        <v>46752</v>
      </c>
      <c r="F119" s="37">
        <f>IF(B118&lt;'Умови та класичний графік'!$J$14,E119-D119+1,"")</f>
        <v>31</v>
      </c>
      <c r="G119" s="144">
        <f>IF(B118&lt;'Умови та класичний графік'!$J$14,-(SUM(J119:L119)),"")</f>
        <v>644375.00488618261</v>
      </c>
      <c r="H119" s="144"/>
      <c r="I119" s="32">
        <f>IF(B118&lt;'Умови та класичний графік'!$J$14,I118+J119,"")</f>
        <v>9559332.9382763989</v>
      </c>
      <c r="J119" s="32">
        <f>IF(B118&lt;'Умови та класичний графік'!$J$14,PPMT($J$21/12,B119,$J$12,$J$11,0,0),"")</f>
        <v>-10267.007095627836</v>
      </c>
      <c r="K119" s="32">
        <f>IF(B118&lt;'Умови та класичний графік'!$J$14,IPMT($J$21/12,B119,$J$12,$J$11,0,0),"")</f>
        <v>-179429.99897572552</v>
      </c>
      <c r="L119" s="30">
        <f>IF(B118&lt;'Умови та класичний графік'!$J$14,-(SUM(M119:V119)),"")</f>
        <v>-454677.99881482922</v>
      </c>
      <c r="M119" s="38"/>
      <c r="N119" s="39"/>
      <c r="O119" s="39"/>
      <c r="P119" s="32"/>
      <c r="Q119" s="40"/>
      <c r="R119" s="40"/>
      <c r="S119" s="41"/>
      <c r="T119" s="41"/>
      <c r="U119" s="33">
        <f>IF(B118&lt;'Умови та класичний графік'!$J$14,('Умови та класичний графік'!$J$15*$N$19)+(I119*$N$20),"")</f>
        <v>454677.99881482922</v>
      </c>
      <c r="V119" s="41"/>
      <c r="W119" s="43">
        <f>IF(B118&lt;'Умови та класичний графік'!$J$14,XIRR($G$35:G119,$C$35:C119,0),"")</f>
        <v>0.34254092285156257</v>
      </c>
      <c r="X119" s="42"/>
      <c r="Y119" s="35"/>
    </row>
    <row r="120" spans="2:25" x14ac:dyDescent="0.2">
      <c r="B120" s="25">
        <v>85</v>
      </c>
      <c r="C120" s="36">
        <f>IF(B119&lt;'Умови та класичний графік'!$J$14,EDATE(C119,1),"")</f>
        <v>46784</v>
      </c>
      <c r="D120" s="36">
        <f>IF(B119&lt;'Умови та класичний графік'!$J$14,C119,"")</f>
        <v>46753</v>
      </c>
      <c r="E120" s="26">
        <f>IF(B119&lt;'Умови та класичний графік'!$J$14,C120-1,"")</f>
        <v>46783</v>
      </c>
      <c r="F120" s="37">
        <f>IF(B119&lt;'Умови та класичний графік'!$J$14,E120-D120+1,"")</f>
        <v>31</v>
      </c>
      <c r="G120" s="144">
        <f>IF(B119&lt;'Умови та класичний графік'!$J$14,-(SUM(J120:L120)),"")</f>
        <v>189697.00607135333</v>
      </c>
      <c r="H120" s="144"/>
      <c r="I120" s="32">
        <f>IF(B119&lt;'Умови та класичний графік'!$J$14,I119+J120,"")</f>
        <v>9548873.4247977287</v>
      </c>
      <c r="J120" s="32">
        <f>IF(B119&lt;'Умови та класичний графік'!$J$14,PPMT($J$21/12,B120,$J$12,$J$11,0,0),"")</f>
        <v>-10459.513478670859</v>
      </c>
      <c r="K120" s="32">
        <f>IF(B119&lt;'Умови та класичний графік'!$J$14,IPMT($J$21/12,B120,$J$12,$J$11,0,0),"")</f>
        <v>-179237.49259268248</v>
      </c>
      <c r="L120" s="30">
        <f>IF(B119&lt;'Умови та класичний графік'!$J$14,-(SUM(M120:V120)),"")</f>
        <v>0</v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>
        <f>IF(B119&lt;'Умови та класичний графік'!$J$14,XIRR($G$35:G120,$C$35:C120,0),"")</f>
        <v>0.34415447753906259</v>
      </c>
      <c r="X120" s="42"/>
      <c r="Y120" s="35"/>
    </row>
    <row r="121" spans="2:25" x14ac:dyDescent="0.2">
      <c r="B121" s="25">
        <v>86</v>
      </c>
      <c r="C121" s="36">
        <f>IF(B120&lt;'Умови та класичний графік'!$J$14,EDATE(C120,1),"")</f>
        <v>46813</v>
      </c>
      <c r="D121" s="36">
        <f>IF(B120&lt;'Умови та класичний графік'!$J$14,C120,"")</f>
        <v>46784</v>
      </c>
      <c r="E121" s="26">
        <f>IF(B120&lt;'Умови та класичний графік'!$J$14,C121-1,"")</f>
        <v>46812</v>
      </c>
      <c r="F121" s="37">
        <f>IF(B120&lt;'Умови та класичний графік'!$J$14,E121-D121+1,"")</f>
        <v>29</v>
      </c>
      <c r="G121" s="144">
        <f>IF(B120&lt;'Умови та класичний графік'!$J$14,-(SUM(J121:L121)),"")</f>
        <v>189697.00607135336</v>
      </c>
      <c r="H121" s="144"/>
      <c r="I121" s="32">
        <f>IF(B120&lt;'Умови та класичний графік'!$J$14,I120+J121,"")</f>
        <v>9538217.7954413332</v>
      </c>
      <c r="J121" s="32">
        <f>IF(B120&lt;'Умови та класичний графік'!$J$14,PPMT($J$21/12,B121,$J$12,$J$11,0,0),"")</f>
        <v>-10655.629356395935</v>
      </c>
      <c r="K121" s="32">
        <f>IF(B120&lt;'Умови та класичний графік'!$J$14,IPMT($J$21/12,B121,$J$12,$J$11,0,0),"")</f>
        <v>-179041.37671495741</v>
      </c>
      <c r="L121" s="30">
        <f>IF(B120&lt;'Умови та класичний графік'!$J$14,-(SUM(M121:V121)),"")</f>
        <v>0</v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>
        <f>IF(B120&lt;'Умови та класичний графік'!$J$14,XIRR($G$35:G121,$C$35:C121,0),"")</f>
        <v>0.34571318847656252</v>
      </c>
      <c r="X121" s="42"/>
      <c r="Y121" s="35"/>
    </row>
    <row r="122" spans="2:25" x14ac:dyDescent="0.2">
      <c r="B122" s="25">
        <v>87</v>
      </c>
      <c r="C122" s="36">
        <f>IF(B121&lt;'Умови та класичний графік'!$J$14,EDATE(C121,1),"")</f>
        <v>46844</v>
      </c>
      <c r="D122" s="36">
        <f>IF(B121&lt;'Умови та класичний графік'!$J$14,C121,"")</f>
        <v>46813</v>
      </c>
      <c r="E122" s="26">
        <f>IF(B121&lt;'Умови та класичний графік'!$J$14,C122-1,"")</f>
        <v>46843</v>
      </c>
      <c r="F122" s="37">
        <f>IF(B121&lt;'Умови та класичний графік'!$J$14,E122-D122+1,"")</f>
        <v>31</v>
      </c>
      <c r="G122" s="144">
        <f>IF(B121&lt;'Умови та класичний графік'!$J$14,-(SUM(J122:L122)),"")</f>
        <v>189697.00607135333</v>
      </c>
      <c r="H122" s="144"/>
      <c r="I122" s="32">
        <f>IF(B121&lt;'Умови та класичний графік'!$J$14,I121+J122,"")</f>
        <v>9527362.3730345052</v>
      </c>
      <c r="J122" s="32">
        <f>IF(B121&lt;'Умови та класичний графік'!$J$14,PPMT($J$21/12,B122,$J$12,$J$11,0,0),"")</f>
        <v>-10855.422406828358</v>
      </c>
      <c r="K122" s="32">
        <f>IF(B121&lt;'Умови та класичний графік'!$J$14,IPMT($J$21/12,B122,$J$12,$J$11,0,0),"")</f>
        <v>-178841.58366452498</v>
      </c>
      <c r="L122" s="30">
        <f>IF(B121&lt;'Умови та класичний графік'!$J$14,-(SUM(M122:V122)),"")</f>
        <v>0</v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>
        <f>IF(B121&lt;'Умови та класичний графік'!$J$14,XIRR($G$35:G122,$C$35:C122,0),"")</f>
        <v>0.3472166943359376</v>
      </c>
      <c r="X122" s="42"/>
      <c r="Y122" s="35"/>
    </row>
    <row r="123" spans="2:25" x14ac:dyDescent="0.2">
      <c r="B123" s="25">
        <v>88</v>
      </c>
      <c r="C123" s="36">
        <f>IF(B122&lt;'Умови та класичний графік'!$J$14,EDATE(C122,1),"")</f>
        <v>46874</v>
      </c>
      <c r="D123" s="36">
        <f>IF(B122&lt;'Умови та класичний графік'!$J$14,C122,"")</f>
        <v>46844</v>
      </c>
      <c r="E123" s="26">
        <f>IF(B122&lt;'Умови та класичний графік'!$J$14,C123-1,"")</f>
        <v>46873</v>
      </c>
      <c r="F123" s="37">
        <f>IF(B122&lt;'Умови та класичний графік'!$J$14,E123-D123+1,"")</f>
        <v>30</v>
      </c>
      <c r="G123" s="144">
        <f>IF(B122&lt;'Умови та класичний графік'!$J$14,-(SUM(J123:L123)),"")</f>
        <v>189697.00607135336</v>
      </c>
      <c r="H123" s="144"/>
      <c r="I123" s="32">
        <f>IF(B122&lt;'Умови та класичний графік'!$J$14,I122+J123,"")</f>
        <v>9516303.4114575479</v>
      </c>
      <c r="J123" s="32">
        <f>IF(B122&lt;'Умови та класичний графік'!$J$14,PPMT($J$21/12,B123,$J$12,$J$11,0,0),"")</f>
        <v>-11058.961576956392</v>
      </c>
      <c r="K123" s="32">
        <f>IF(B122&lt;'Умови та класичний графік'!$J$14,IPMT($J$21/12,B123,$J$12,$J$11,0,0),"")</f>
        <v>-178638.04449439698</v>
      </c>
      <c r="L123" s="30">
        <f>IF(B122&lt;'Умови та класичний графік'!$J$14,-(SUM(M123:V123)),"")</f>
        <v>0</v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>
        <f>IF(B122&lt;'Умови та класичний графік'!$J$14,XIRR($G$35:G123,$C$35:C123,0),"")</f>
        <v>0.34866832519531243</v>
      </c>
      <c r="X123" s="42"/>
      <c r="Y123" s="35"/>
    </row>
    <row r="124" spans="2:25" x14ac:dyDescent="0.2">
      <c r="B124" s="25">
        <v>89</v>
      </c>
      <c r="C124" s="36">
        <f>IF(B123&lt;'Умови та класичний графік'!$J$14,EDATE(C123,1),"")</f>
        <v>46905</v>
      </c>
      <c r="D124" s="36">
        <f>IF(B123&lt;'Умови та класичний графік'!$J$14,C123,"")</f>
        <v>46874</v>
      </c>
      <c r="E124" s="26">
        <f>IF(B123&lt;'Умови та класичний графік'!$J$14,C124-1,"")</f>
        <v>46904</v>
      </c>
      <c r="F124" s="37">
        <f>IF(B123&lt;'Умови та класичний графік'!$J$14,E124-D124+1,"")</f>
        <v>31</v>
      </c>
      <c r="G124" s="144">
        <f>IF(B123&lt;'Умови та класичний графік'!$J$14,-(SUM(J124:L124)),"")</f>
        <v>189697.00607135336</v>
      </c>
      <c r="H124" s="144"/>
      <c r="I124" s="32">
        <f>IF(B123&lt;'Умови та класичний графік'!$J$14,I123+J124,"")</f>
        <v>9505037.0943510234</v>
      </c>
      <c r="J124" s="32">
        <f>IF(B123&lt;'Умови та класичний графік'!$J$14,PPMT($J$21/12,B124,$J$12,$J$11,0,0),"")</f>
        <v>-11266.317106524324</v>
      </c>
      <c r="K124" s="32">
        <f>IF(B123&lt;'Умови та класичний графік'!$J$14,IPMT($J$21/12,B124,$J$12,$J$11,0,0),"")</f>
        <v>-178430.68896482902</v>
      </c>
      <c r="L124" s="30">
        <f>IF(B123&lt;'Умови та класичний графік'!$J$14,-(SUM(M124:V124)),"")</f>
        <v>0</v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>
        <f>IF(B123&lt;'Умови та класичний графік'!$J$14,XIRR($G$35:G124,$C$35:C124,0),"")</f>
        <v>0.35006892089843755</v>
      </c>
      <c r="X124" s="42"/>
      <c r="Y124" s="35"/>
    </row>
    <row r="125" spans="2:25" x14ac:dyDescent="0.2">
      <c r="B125" s="25">
        <v>90</v>
      </c>
      <c r="C125" s="36">
        <f>IF(B124&lt;'Умови та класичний графік'!$J$14,EDATE(C124,1),"")</f>
        <v>46935</v>
      </c>
      <c r="D125" s="36">
        <f>IF(B124&lt;'Умови та класичний графік'!$J$14,C124,"")</f>
        <v>46905</v>
      </c>
      <c r="E125" s="26">
        <f>IF(B124&lt;'Умови та класичний графік'!$J$14,C125-1,"")</f>
        <v>46934</v>
      </c>
      <c r="F125" s="37">
        <f>IF(B124&lt;'Умови та класичний графік'!$J$14,E125-D125+1,"")</f>
        <v>30</v>
      </c>
      <c r="G125" s="144">
        <f>IF(B124&lt;'Умови та класичний графік'!$J$14,-(SUM(J125:L125)),"")</f>
        <v>189697.00607135336</v>
      </c>
      <c r="H125" s="144"/>
      <c r="I125" s="32">
        <f>IF(B124&lt;'Умови та класичний графік'!$J$14,I124+J125,"")</f>
        <v>9493559.5337987524</v>
      </c>
      <c r="J125" s="32">
        <f>IF(B124&lt;'Умови та класичний графік'!$J$14,PPMT($J$21/12,B125,$J$12,$J$11,0,0),"")</f>
        <v>-11477.560552271652</v>
      </c>
      <c r="K125" s="32">
        <f>IF(B124&lt;'Умови та класичний графік'!$J$14,IPMT($J$21/12,B125,$J$12,$J$11,0,0),"")</f>
        <v>-178219.4455190817</v>
      </c>
      <c r="L125" s="30">
        <f>IF(B124&lt;'Умови та класичний графік'!$J$14,-(SUM(M125:V125)),"")</f>
        <v>0</v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>
        <f>IF(B124&lt;'Умови та класичний графік'!$J$14,XIRR($G$35:G125,$C$35:C125,0),"")</f>
        <v>0.35142157714843747</v>
      </c>
      <c r="X125" s="42"/>
      <c r="Y125" s="35"/>
    </row>
    <row r="126" spans="2:25" x14ac:dyDescent="0.2">
      <c r="B126" s="25">
        <v>91</v>
      </c>
      <c r="C126" s="36">
        <f>IF(B125&lt;'Умови та класичний графік'!$J$14,EDATE(C125,1),"")</f>
        <v>46966</v>
      </c>
      <c r="D126" s="36">
        <f>IF(B125&lt;'Умови та класичний графік'!$J$14,C125,"")</f>
        <v>46935</v>
      </c>
      <c r="E126" s="26">
        <f>IF(B125&lt;'Умови та класичний графік'!$J$14,C126-1,"")</f>
        <v>46965</v>
      </c>
      <c r="F126" s="37">
        <f>IF(B125&lt;'Умови та класичний графік'!$J$14,E126-D126+1,"")</f>
        <v>31</v>
      </c>
      <c r="G126" s="144">
        <f>IF(B125&lt;'Умови та класичний графік'!$J$14,-(SUM(J126:L126)),"")</f>
        <v>189697.00607135333</v>
      </c>
      <c r="H126" s="144"/>
      <c r="I126" s="32">
        <f>IF(B125&lt;'Умови та класичний графік'!$J$14,I125+J126,"")</f>
        <v>9481866.7689861264</v>
      </c>
      <c r="J126" s="32">
        <f>IF(B125&lt;'Умови та класичний графік'!$J$14,PPMT($J$21/12,B126,$J$12,$J$11,0,0),"")</f>
        <v>-11692.76481262675</v>
      </c>
      <c r="K126" s="32">
        <f>IF(B125&lt;'Умови та класичний графік'!$J$14,IPMT($J$21/12,B126,$J$12,$J$11,0,0),"")</f>
        <v>-178004.24125872657</v>
      </c>
      <c r="L126" s="30">
        <f>IF(B125&lt;'Умови та класичний графік'!$J$14,-(SUM(M126:V126)),"")</f>
        <v>0</v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>
        <f>IF(B125&lt;'Умови та класичний графік'!$J$14,XIRR($G$35:G126,$C$35:C126,0),"")</f>
        <v>0.35272702636718756</v>
      </c>
      <c r="X126" s="42"/>
      <c r="Y126" s="35"/>
    </row>
    <row r="127" spans="2:25" x14ac:dyDescent="0.2">
      <c r="B127" s="25">
        <v>92</v>
      </c>
      <c r="C127" s="36">
        <f>IF(B126&lt;'Умови та класичний графік'!$J$14,EDATE(C126,1),"")</f>
        <v>46997</v>
      </c>
      <c r="D127" s="36">
        <f>IF(B126&lt;'Умови та класичний графік'!$J$14,C126,"")</f>
        <v>46966</v>
      </c>
      <c r="E127" s="26">
        <f>IF(B126&lt;'Умови та класичний графік'!$J$14,C127-1,"")</f>
        <v>46996</v>
      </c>
      <c r="F127" s="37">
        <f>IF(B126&lt;'Умови та класичний графік'!$J$14,E127-D127+1,"")</f>
        <v>31</v>
      </c>
      <c r="G127" s="144">
        <f>IF(B126&lt;'Умови та класичний графік'!$J$14,-(SUM(J127:L127)),"")</f>
        <v>189697.00607135333</v>
      </c>
      <c r="H127" s="144"/>
      <c r="I127" s="32">
        <f>IF(B126&lt;'Умови та класичний графік'!$J$14,I126+J127,"")</f>
        <v>9469954.7648332622</v>
      </c>
      <c r="J127" s="32">
        <f>IF(B126&lt;'Умови та класичний графік'!$J$14,PPMT($J$21/12,B127,$J$12,$J$11,0,0),"")</f>
        <v>-11912.004152863503</v>
      </c>
      <c r="K127" s="32">
        <f>IF(B126&lt;'Умови та класичний графік'!$J$14,IPMT($J$21/12,B127,$J$12,$J$11,0,0),"")</f>
        <v>-177785.00191848984</v>
      </c>
      <c r="L127" s="30">
        <f>IF(B126&lt;'Умови та класичний графік'!$J$14,-(SUM(M127:V127)),"")</f>
        <v>0</v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>
        <f>IF(B126&lt;'Умови та класичний графік'!$J$14,XIRR($G$35:G127,$C$35:C127,0),"")</f>
        <v>0.35398709472656253</v>
      </c>
      <c r="X127" s="42"/>
      <c r="Y127" s="35"/>
    </row>
    <row r="128" spans="2:25" x14ac:dyDescent="0.2">
      <c r="B128" s="25">
        <v>93</v>
      </c>
      <c r="C128" s="36">
        <f>IF(B127&lt;'Умови та класичний графік'!$J$14,EDATE(C127,1),"")</f>
        <v>47027</v>
      </c>
      <c r="D128" s="36">
        <f>IF(B127&lt;'Умови та класичний графік'!$J$14,C127,"")</f>
        <v>46997</v>
      </c>
      <c r="E128" s="26">
        <f>IF(B127&lt;'Умови та класичний графік'!$J$14,C128-1,"")</f>
        <v>47026</v>
      </c>
      <c r="F128" s="37">
        <f>IF(B127&lt;'Умови та класичний графік'!$J$14,E128-D128+1,"")</f>
        <v>30</v>
      </c>
      <c r="G128" s="144">
        <f>IF(B127&lt;'Умови та класичний графік'!$J$14,-(SUM(J128:L128)),"")</f>
        <v>189697.0060713533</v>
      </c>
      <c r="H128" s="144"/>
      <c r="I128" s="32">
        <f>IF(B127&lt;'Умови та класичний графік'!$J$14,I127+J128,"")</f>
        <v>9457819.4106025323</v>
      </c>
      <c r="J128" s="32">
        <f>IF(B127&lt;'Умови та класичний графік'!$J$14,PPMT($J$21/12,B128,$J$12,$J$11,0,0),"")</f>
        <v>-12135.35423072969</v>
      </c>
      <c r="K128" s="32">
        <f>IF(B127&lt;'Умови та класичний графік'!$J$14,IPMT($J$21/12,B128,$J$12,$J$11,0,0),"")</f>
        <v>-177561.65184062361</v>
      </c>
      <c r="L128" s="30">
        <f>IF(B127&lt;'Умови та класичний графік'!$J$14,-(SUM(M128:V128)),"")</f>
        <v>0</v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>
        <f>IF(B127&lt;'Умови та класичний графік'!$J$14,XIRR($G$35:G128,$C$35:C128,0),"")</f>
        <v>0.35520452636718758</v>
      </c>
      <c r="X128" s="42"/>
      <c r="Y128" s="35"/>
    </row>
    <row r="129" spans="2:25" x14ac:dyDescent="0.2">
      <c r="B129" s="25">
        <v>94</v>
      </c>
      <c r="C129" s="36">
        <f>IF(B128&lt;'Умови та класичний графік'!$J$14,EDATE(C128,1),"")</f>
        <v>47058</v>
      </c>
      <c r="D129" s="36">
        <f>IF(B128&lt;'Умови та класичний графік'!$J$14,C128,"")</f>
        <v>47027</v>
      </c>
      <c r="E129" s="26">
        <f>IF(B128&lt;'Умови та класичний графік'!$J$14,C129-1,"")</f>
        <v>47057</v>
      </c>
      <c r="F129" s="37">
        <f>IF(B128&lt;'Умови та класичний графік'!$J$14,E129-D129+1,"")</f>
        <v>31</v>
      </c>
      <c r="G129" s="144">
        <f>IF(B128&lt;'Умови та класичний графік'!$J$14,-(SUM(J129:L129)),"")</f>
        <v>189697.00607135336</v>
      </c>
      <c r="H129" s="144"/>
      <c r="I129" s="32">
        <f>IF(B128&lt;'Умови та класичний графік'!$J$14,I128+J129,"")</f>
        <v>9445456.5184799768</v>
      </c>
      <c r="J129" s="32">
        <f>IF(B128&lt;'Умови та класичний графік'!$J$14,PPMT($J$21/12,B129,$J$12,$J$11,0,0),"")</f>
        <v>-12362.892122555875</v>
      </c>
      <c r="K129" s="32">
        <f>IF(B128&lt;'Умови та класичний графік'!$J$14,IPMT($J$21/12,B129,$J$12,$J$11,0,0),"")</f>
        <v>-177334.11394879749</v>
      </c>
      <c r="L129" s="30">
        <f>IF(B128&lt;'Умови та класичний графік'!$J$14,-(SUM(M129:V129)),"")</f>
        <v>0</v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>
        <f>IF(B128&lt;'Умови та класичний графік'!$J$14,XIRR($G$35:G129,$C$35:C129,0),"")</f>
        <v>0.35637994628906255</v>
      </c>
      <c r="X129" s="42"/>
      <c r="Y129" s="35"/>
    </row>
    <row r="130" spans="2:25" x14ac:dyDescent="0.2">
      <c r="B130" s="25">
        <v>95</v>
      </c>
      <c r="C130" s="36">
        <f>IF(B129&lt;'Умови та класичний графік'!$J$14,EDATE(C129,1),"")</f>
        <v>47088</v>
      </c>
      <c r="D130" s="36">
        <f>IF(B129&lt;'Умови та класичний графік'!$J$14,C129,"")</f>
        <v>47058</v>
      </c>
      <c r="E130" s="26">
        <f>IF(B129&lt;'Умови та класичний графік'!$J$14,C130-1,"")</f>
        <v>47087</v>
      </c>
      <c r="F130" s="37">
        <f>IF(B129&lt;'Умови та класичний графік'!$J$14,E130-D130+1,"")</f>
        <v>30</v>
      </c>
      <c r="G130" s="144">
        <f>IF(B129&lt;'Умови та класичний графік'!$J$14,-(SUM(J130:L130)),"")</f>
        <v>189697.00607135333</v>
      </c>
      <c r="H130" s="144"/>
      <c r="I130" s="32">
        <f>IF(B129&lt;'Умови та класичний графік'!$J$14,I129+J130,"")</f>
        <v>9432861.8221301232</v>
      </c>
      <c r="J130" s="32">
        <f>IF(B129&lt;'Умови та класичний графік'!$J$14,PPMT($J$21/12,B130,$J$12,$J$11,0,0),"")</f>
        <v>-12594.696349853797</v>
      </c>
      <c r="K130" s="32">
        <f>IF(B129&lt;'Умови та класичний графік'!$J$14,IPMT($J$21/12,B130,$J$12,$J$11,0,0),"")</f>
        <v>-177102.30972149954</v>
      </c>
      <c r="L130" s="30">
        <f>IF(B129&lt;'Умови та класичний графік'!$J$14,-(SUM(M130:V130)),"")</f>
        <v>0</v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>
        <f>IF(B129&lt;'Умови та класичний графік'!$J$14,XIRR($G$35:G130,$C$35:C130,0),"")</f>
        <v>0.35751588378906252</v>
      </c>
      <c r="X130" s="42"/>
      <c r="Y130" s="35"/>
    </row>
    <row r="131" spans="2:25" x14ac:dyDescent="0.2">
      <c r="B131" s="25">
        <v>96</v>
      </c>
      <c r="C131" s="36">
        <f>IF(B130&lt;'Умови та класичний графік'!$J$14,EDATE(C130,1),"")</f>
        <v>47119</v>
      </c>
      <c r="D131" s="36">
        <f>IF(B130&lt;'Умови та класичний графік'!$J$14,C130,"")</f>
        <v>47088</v>
      </c>
      <c r="E131" s="26">
        <f>IF(B130&lt;'Умови та класичний графік'!$J$14,C131-1,"")</f>
        <v>47118</v>
      </c>
      <c r="F131" s="37">
        <f>IF(B130&lt;'Умови та класичний графік'!$J$14,E131-D131+1,"")</f>
        <v>31</v>
      </c>
      <c r="G131" s="144">
        <f>IF(B130&lt;'Умови та класичний графік'!$J$14,-(SUM(J131:L131)),"")</f>
        <v>643957.09899702447</v>
      </c>
      <c r="H131" s="144"/>
      <c r="I131" s="32">
        <f>IF(B130&lt;'Умови та класичний графік'!$J$14,I130+J131,"")</f>
        <v>9420030.9752237089</v>
      </c>
      <c r="J131" s="32">
        <f>IF(B130&lt;'Умови та класичний графік'!$J$14,PPMT($J$21/12,B131,$J$12,$J$11,0,0),"")</f>
        <v>-12830.846906413553</v>
      </c>
      <c r="K131" s="32">
        <f>IF(B130&lt;'Умови та класичний графік'!$J$14,IPMT($J$21/12,B131,$J$12,$J$11,0,0),"")</f>
        <v>-176866.15916493977</v>
      </c>
      <c r="L131" s="30">
        <f>IF(B130&lt;'Умови та класичний графік'!$J$14,-(SUM(M131:V131)),"")</f>
        <v>-454260.09292567114</v>
      </c>
      <c r="M131" s="38"/>
      <c r="N131" s="39"/>
      <c r="O131" s="39"/>
      <c r="P131" s="32"/>
      <c r="Q131" s="40"/>
      <c r="R131" s="40"/>
      <c r="S131" s="41"/>
      <c r="T131" s="41"/>
      <c r="U131" s="33">
        <f>IF(B130&lt;'Умови та класичний графік'!$J$14,('Умови та класичний графік'!$J$15*$N$19)+(I131*$N$20),"")</f>
        <v>454260.09292567114</v>
      </c>
      <c r="V131" s="41"/>
      <c r="W131" s="43">
        <f>IF(B130&lt;'Умови та класичний графік'!$J$14,XIRR($G$35:G131,$C$35:C131,0),"")</f>
        <v>0.36120132324218757</v>
      </c>
      <c r="X131" s="42"/>
      <c r="Y131" s="35"/>
    </row>
    <row r="132" spans="2:25" x14ac:dyDescent="0.2">
      <c r="B132" s="25">
        <v>97</v>
      </c>
      <c r="C132" s="36">
        <f>IF(B131&lt;'Умови та класичний графік'!$J$14,EDATE(C131,1),"")</f>
        <v>47150</v>
      </c>
      <c r="D132" s="36">
        <f>IF(B131&lt;'Умови та класичний графік'!$J$14,C131,"")</f>
        <v>47119</v>
      </c>
      <c r="E132" s="26">
        <f>IF(B131&lt;'Умови та класичний графік'!$J$14,C132-1,"")</f>
        <v>47149</v>
      </c>
      <c r="F132" s="37">
        <f>IF(B131&lt;'Умови та класичний графік'!$J$14,E132-D132+1,"")</f>
        <v>31</v>
      </c>
      <c r="G132" s="144">
        <f>IF(B131&lt;'Умови та класичний графік'!$J$14,-(SUM(J132:L132)),"")</f>
        <v>189697.00607135333</v>
      </c>
      <c r="H132" s="144"/>
      <c r="I132" s="32">
        <f>IF(B131&lt;'Умови та класичний графік'!$J$14,I131+J132,"")</f>
        <v>9406959.5499377996</v>
      </c>
      <c r="J132" s="32">
        <f>IF(B131&lt;'Умови та класичний графік'!$J$14,PPMT($J$21/12,B132,$J$12,$J$11,0,0),"")</f>
        <v>-13071.425285908806</v>
      </c>
      <c r="K132" s="32">
        <f>IF(B131&lt;'Умови та класичний графік'!$J$14,IPMT($J$21/12,B132,$J$12,$J$11,0,0),"")</f>
        <v>-176625.58078544453</v>
      </c>
      <c r="L132" s="30">
        <f>IF(B131&lt;'Умови та класичний графік'!$J$14,-(SUM(M132:V132)),"")</f>
        <v>0</v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>
        <f>IF(B131&lt;'Умови та класичний графік'!$J$14,XIRR($G$35:G132,$C$35:C132,0),"")</f>
        <v>0.3622391259765626</v>
      </c>
      <c r="X132" s="42"/>
      <c r="Y132" s="35"/>
    </row>
    <row r="133" spans="2:25" x14ac:dyDescent="0.2">
      <c r="B133" s="25">
        <v>98</v>
      </c>
      <c r="C133" s="36">
        <f>IF(B132&lt;'Умови та класичний графік'!$J$14,EDATE(C132,1),"")</f>
        <v>47178</v>
      </c>
      <c r="D133" s="36">
        <f>IF(B132&lt;'Умови та класичний графік'!$J$14,C132,"")</f>
        <v>47150</v>
      </c>
      <c r="E133" s="26">
        <f>IF(B132&lt;'Умови та класичний графік'!$J$14,C133-1,"")</f>
        <v>47177</v>
      </c>
      <c r="F133" s="37">
        <f>IF(B132&lt;'Умови та класичний графік'!$J$14,E133-D133+1,"")</f>
        <v>28</v>
      </c>
      <c r="G133" s="144">
        <f>IF(B132&lt;'Умови та класичний графік'!$J$14,-(SUM(J133:L133)),"")</f>
        <v>189697.00607135333</v>
      </c>
      <c r="H133" s="144"/>
      <c r="I133" s="32">
        <f>IF(B132&lt;'Умови та класичний графік'!$J$14,I132+J133,"")</f>
        <v>9393643.0354277808</v>
      </c>
      <c r="J133" s="32">
        <f>IF(B132&lt;'Умови та класичний графік'!$J$14,PPMT($J$21/12,B133,$J$12,$J$11,0,0),"")</f>
        <v>-13316.5145100196</v>
      </c>
      <c r="K133" s="32">
        <f>IF(B132&lt;'Умови та класичний графік'!$J$14,IPMT($J$21/12,B133,$J$12,$J$11,0,0),"")</f>
        <v>-176380.49156133374</v>
      </c>
      <c r="L133" s="30">
        <f>IF(B132&lt;'Умови та класичний графік'!$J$14,-(SUM(M133:V133)),"")</f>
        <v>0</v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>
        <f>IF(B132&lt;'Умови та класичний графік'!$J$14,XIRR($G$35:G133,$C$35:C133,0),"")</f>
        <v>0.36324422363281261</v>
      </c>
      <c r="X133" s="42"/>
      <c r="Y133" s="35"/>
    </row>
    <row r="134" spans="2:25" x14ac:dyDescent="0.2">
      <c r="B134" s="25">
        <v>99</v>
      </c>
      <c r="C134" s="36">
        <f>IF(B133&lt;'Умови та класичний графік'!$J$14,EDATE(C133,1),"")</f>
        <v>47209</v>
      </c>
      <c r="D134" s="36">
        <f>IF(B133&lt;'Умови та класичний графік'!$J$14,C133,"")</f>
        <v>47178</v>
      </c>
      <c r="E134" s="26">
        <f>IF(B133&lt;'Умови та класичний графік'!$J$14,C134-1,"")</f>
        <v>47208</v>
      </c>
      <c r="F134" s="37">
        <f>IF(B133&lt;'Умови та класичний графік'!$J$14,E134-D134+1,"")</f>
        <v>31</v>
      </c>
      <c r="G134" s="144">
        <f>IF(B133&lt;'Умови та класичний графік'!$J$14,-(SUM(J134:L134)),"")</f>
        <v>189697.00607135333</v>
      </c>
      <c r="H134" s="144"/>
      <c r="I134" s="32">
        <f>IF(B133&lt;'Умови та класичний графік'!$J$14,I133+J134,"")</f>
        <v>9380076.8362706993</v>
      </c>
      <c r="J134" s="32">
        <f>IF(B133&lt;'Умови та класичний графік'!$J$14,PPMT($J$21/12,B134,$J$12,$J$11,0,0),"")</f>
        <v>-13566.199157082467</v>
      </c>
      <c r="K134" s="32">
        <f>IF(B133&lt;'Умови та класичний графік'!$J$14,IPMT($J$21/12,B134,$J$12,$J$11,0,0),"")</f>
        <v>-176130.80691427086</v>
      </c>
      <c r="L134" s="30">
        <f>IF(B133&lt;'Умови та класичний графік'!$J$14,-(SUM(M134:V134)),"")</f>
        <v>0</v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>
        <f>IF(B133&lt;'Умови та класичний графік'!$J$14,XIRR($G$35:G134,$C$35:C134,0),"")</f>
        <v>0.36421529785156259</v>
      </c>
      <c r="X134" s="42"/>
      <c r="Y134" s="35"/>
    </row>
    <row r="135" spans="2:25" x14ac:dyDescent="0.2">
      <c r="B135" s="25">
        <v>100</v>
      </c>
      <c r="C135" s="36">
        <f>IF(B134&lt;'Умови та класичний графік'!$J$14,EDATE(C134,1),"")</f>
        <v>47239</v>
      </c>
      <c r="D135" s="36">
        <f>IF(B134&lt;'Умови та класичний графік'!$J$14,C134,"")</f>
        <v>47209</v>
      </c>
      <c r="E135" s="26">
        <f>IF(B134&lt;'Умови та класичний графік'!$J$14,C135-1,"")</f>
        <v>47238</v>
      </c>
      <c r="F135" s="37">
        <f>IF(B134&lt;'Умови та класичний графік'!$J$14,E135-D135+1,"")</f>
        <v>30</v>
      </c>
      <c r="G135" s="144">
        <f>IF(B134&lt;'Умови та класичний графік'!$J$14,-(SUM(J135:L135)),"")</f>
        <v>189697.00607135333</v>
      </c>
      <c r="H135" s="144"/>
      <c r="I135" s="32">
        <f>IF(B134&lt;'Умови та класичний графік'!$J$14,I134+J135,"")</f>
        <v>9366256.2708794214</v>
      </c>
      <c r="J135" s="32">
        <f>IF(B134&lt;'Умови та класичний графік'!$J$14,PPMT($J$21/12,B135,$J$12,$J$11,0,0),"")</f>
        <v>-13820.56539127776</v>
      </c>
      <c r="K135" s="32">
        <f>IF(B134&lt;'Умови та класичний графік'!$J$14,IPMT($J$21/12,B135,$J$12,$J$11,0,0),"")</f>
        <v>-175876.44068007558</v>
      </c>
      <c r="L135" s="30">
        <f>IF(B134&lt;'Умови та класичний графік'!$J$14,-(SUM(M135:V135)),"")</f>
        <v>0</v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>
        <f>IF(B134&lt;'Умови та класичний графік'!$J$14,XIRR($G$35:G135,$C$35:C135,0),"")</f>
        <v>0.36515439941406269</v>
      </c>
      <c r="X135" s="42"/>
      <c r="Y135" s="35"/>
    </row>
    <row r="136" spans="2:25" x14ac:dyDescent="0.2">
      <c r="B136" s="25">
        <v>101</v>
      </c>
      <c r="C136" s="36">
        <f>IF(B135&lt;'Умови та класичний графік'!$J$14,EDATE(C135,1),"")</f>
        <v>47270</v>
      </c>
      <c r="D136" s="36">
        <f>IF(B135&lt;'Умови та класичний графік'!$J$14,C135,"")</f>
        <v>47239</v>
      </c>
      <c r="E136" s="26">
        <f>IF(B135&lt;'Умови та класичний графік'!$J$14,C136-1,"")</f>
        <v>47269</v>
      </c>
      <c r="F136" s="37">
        <f>IF(B135&lt;'Умови та класичний графік'!$J$14,E136-D136+1,"")</f>
        <v>31</v>
      </c>
      <c r="G136" s="144">
        <f>IF(B135&lt;'Умови та класичний графік'!$J$14,-(SUM(J136:L136)),"")</f>
        <v>189697.00607135333</v>
      </c>
      <c r="H136" s="144"/>
      <c r="I136" s="32">
        <f>IF(B135&lt;'Умови та класичний графік'!$J$14,I135+J136,"")</f>
        <v>9352176.5698870569</v>
      </c>
      <c r="J136" s="32">
        <f>IF(B135&lt;'Умови та класичний графік'!$J$14,PPMT($J$21/12,B136,$J$12,$J$11,0,0),"")</f>
        <v>-14079.700992364224</v>
      </c>
      <c r="K136" s="32">
        <f>IF(B135&lt;'Умови та класичний графік'!$J$14,IPMT($J$21/12,B136,$J$12,$J$11,0,0),"")</f>
        <v>-175617.3050789891</v>
      </c>
      <c r="L136" s="30">
        <f>IF(B135&lt;'Умови та класичний графік'!$J$14,-(SUM(M136:V136)),"")</f>
        <v>0</v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>
        <f>IF(B135&lt;'Умови та класичний графік'!$J$14,XIRR($G$35:G136,$C$35:C136,0),"")</f>
        <v>0.36606189941406264</v>
      </c>
      <c r="X136" s="42"/>
      <c r="Y136" s="35"/>
    </row>
    <row r="137" spans="2:25" x14ac:dyDescent="0.2">
      <c r="B137" s="25">
        <v>102</v>
      </c>
      <c r="C137" s="36">
        <f>IF(B136&lt;'Умови та класичний графік'!$J$14,EDATE(C136,1),"")</f>
        <v>47300</v>
      </c>
      <c r="D137" s="36">
        <f>IF(B136&lt;'Умови та класичний графік'!$J$14,C136,"")</f>
        <v>47270</v>
      </c>
      <c r="E137" s="26">
        <f>IF(B136&lt;'Умови та класичний графік'!$J$14,C137-1,"")</f>
        <v>47299</v>
      </c>
      <c r="F137" s="37">
        <f>IF(B136&lt;'Умови та класичний графік'!$J$14,E137-D137+1,"")</f>
        <v>30</v>
      </c>
      <c r="G137" s="144">
        <f>IF(B136&lt;'Умови та класичний графік'!$J$14,-(SUM(J137:L137)),"")</f>
        <v>189697.00607135336</v>
      </c>
      <c r="H137" s="144"/>
      <c r="I137" s="32">
        <f>IF(B136&lt;'Умови та класичний графік'!$J$14,I136+J137,"")</f>
        <v>9337832.8745010868</v>
      </c>
      <c r="J137" s="32">
        <f>IF(B136&lt;'Умови та класичний графік'!$J$14,PPMT($J$21/12,B137,$J$12,$J$11,0,0),"")</f>
        <v>-14343.695385971048</v>
      </c>
      <c r="K137" s="32">
        <f>IF(B136&lt;'Умови та класичний графік'!$J$14,IPMT($J$21/12,B137,$J$12,$J$11,0,0),"")</f>
        <v>-175353.31068538231</v>
      </c>
      <c r="L137" s="30">
        <f>IF(B136&lt;'Умови та класичний графік'!$J$14,-(SUM(M137:V137)),"")</f>
        <v>0</v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>
        <f>IF(B136&lt;'Умови та класичний графік'!$J$14,XIRR($G$35:G137,$C$35:C137,0),"")</f>
        <v>0.36693973144531256</v>
      </c>
      <c r="X137" s="42"/>
      <c r="Y137" s="35"/>
    </row>
    <row r="138" spans="2:25" x14ac:dyDescent="0.2">
      <c r="B138" s="25">
        <v>103</v>
      </c>
      <c r="C138" s="36">
        <f>IF(B137&lt;'Умови та класичний графік'!$J$14,EDATE(C137,1),"")</f>
        <v>47331</v>
      </c>
      <c r="D138" s="36">
        <f>IF(B137&lt;'Умови та класичний графік'!$J$14,C137,"")</f>
        <v>47300</v>
      </c>
      <c r="E138" s="26">
        <f>IF(B137&lt;'Умови та класичний графік'!$J$14,C138-1,"")</f>
        <v>47330</v>
      </c>
      <c r="F138" s="37">
        <f>IF(B137&lt;'Умови та класичний графік'!$J$14,E138-D138+1,"")</f>
        <v>31</v>
      </c>
      <c r="G138" s="144">
        <f>IF(B137&lt;'Умови та класичний графік'!$J$14,-(SUM(J138:L138)),"")</f>
        <v>189697.00607135336</v>
      </c>
      <c r="H138" s="144"/>
      <c r="I138" s="32">
        <f>IF(B137&lt;'Умови та класичний графік'!$J$14,I137+J138,"")</f>
        <v>9323220.2348266281</v>
      </c>
      <c r="J138" s="32">
        <f>IF(B137&lt;'Умови та класичний графік'!$J$14,PPMT($J$21/12,B138,$J$12,$J$11,0,0),"")</f>
        <v>-14612.639674458005</v>
      </c>
      <c r="K138" s="32">
        <f>IF(B137&lt;'Умови та класичний графік'!$J$14,IPMT($J$21/12,B138,$J$12,$J$11,0,0),"")</f>
        <v>-175084.36639689535</v>
      </c>
      <c r="L138" s="30">
        <f>IF(B137&lt;'Умови та класичний графік'!$J$14,-(SUM(M138:V138)),"")</f>
        <v>0</v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>
        <f>IF(B137&lt;'Умови та класичний графік'!$J$14,XIRR($G$35:G138,$C$35:C138,0),"")</f>
        <v>0.36778821777343762</v>
      </c>
      <c r="X138" s="42"/>
      <c r="Y138" s="35"/>
    </row>
    <row r="139" spans="2:25" x14ac:dyDescent="0.2">
      <c r="B139" s="25">
        <v>104</v>
      </c>
      <c r="C139" s="36">
        <f>IF(B138&lt;'Умови та класичний графік'!$J$14,EDATE(C138,1),"")</f>
        <v>47362</v>
      </c>
      <c r="D139" s="36">
        <f>IF(B138&lt;'Умови та класичний графік'!$J$14,C138,"")</f>
        <v>47331</v>
      </c>
      <c r="E139" s="26">
        <f>IF(B138&lt;'Умови та класичний графік'!$J$14,C139-1,"")</f>
        <v>47361</v>
      </c>
      <c r="F139" s="37">
        <f>IF(B138&lt;'Умови та класичний графік'!$J$14,E139-D139+1,"")</f>
        <v>31</v>
      </c>
      <c r="G139" s="144">
        <f>IF(B138&lt;'Умови та класичний графік'!$J$14,-(SUM(J139:L139)),"")</f>
        <v>189697.00607135333</v>
      </c>
      <c r="H139" s="144"/>
      <c r="I139" s="32">
        <f>IF(B138&lt;'Умови та класичний графік'!$J$14,I138+J139,"")</f>
        <v>9308333.6081582736</v>
      </c>
      <c r="J139" s="32">
        <f>IF(B138&lt;'Умови та класичний графік'!$J$14,PPMT($J$21/12,B139,$J$12,$J$11,0,0),"")</f>
        <v>-14886.626668354091</v>
      </c>
      <c r="K139" s="32">
        <f>IF(B138&lt;'Умови та класичний графік'!$J$14,IPMT($J$21/12,B139,$J$12,$J$11,0,0),"")</f>
        <v>-174810.37940299924</v>
      </c>
      <c r="L139" s="30">
        <f>IF(B138&lt;'Умови та класичний графік'!$J$14,-(SUM(M139:V139)),"")</f>
        <v>0</v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>
        <f>IF(B138&lt;'Умови та класичний графік'!$J$14,XIRR($G$35:G139,$C$35:C139,0),"")</f>
        <v>0.36860842285156259</v>
      </c>
      <c r="X139" s="42"/>
      <c r="Y139" s="35"/>
    </row>
    <row r="140" spans="2:25" x14ac:dyDescent="0.2">
      <c r="B140" s="25">
        <v>105</v>
      </c>
      <c r="C140" s="36">
        <f>IF(B139&lt;'Умови та класичний графік'!$J$14,EDATE(C139,1),"")</f>
        <v>47392</v>
      </c>
      <c r="D140" s="36">
        <f>IF(B139&lt;'Умови та класичний графік'!$J$14,C139,"")</f>
        <v>47362</v>
      </c>
      <c r="E140" s="26">
        <f>IF(B139&lt;'Умови та класичний графік'!$J$14,C140-1,"")</f>
        <v>47391</v>
      </c>
      <c r="F140" s="37">
        <f>IF(B139&lt;'Умови та класичний графік'!$J$14,E140-D140+1,"")</f>
        <v>30</v>
      </c>
      <c r="G140" s="144">
        <f>IF(B139&lt;'Умови та класичний графік'!$J$14,-(SUM(J140:L140)),"")</f>
        <v>189697.00607135333</v>
      </c>
      <c r="H140" s="144"/>
      <c r="I140" s="32">
        <f>IF(B139&lt;'Умови та класичний графік'!$J$14,I139+J140,"")</f>
        <v>9293167.8572398871</v>
      </c>
      <c r="J140" s="32">
        <f>IF(B139&lt;'Умови та класичний графік'!$J$14,PPMT($J$21/12,B140,$J$12,$J$11,0,0),"")</f>
        <v>-15165.750918385733</v>
      </c>
      <c r="K140" s="32">
        <f>IF(B139&lt;'Умови та класичний графік'!$J$14,IPMT($J$21/12,B140,$J$12,$J$11,0,0),"")</f>
        <v>-174531.25515296758</v>
      </c>
      <c r="L140" s="30">
        <f>IF(B139&lt;'Умови та класичний графік'!$J$14,-(SUM(M140:V140)),"")</f>
        <v>0</v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>
        <f>IF(B139&lt;'Умови та класичний графік'!$J$14,XIRR($G$35:G140,$C$35:C140,0),"")</f>
        <v>0.36940207519531254</v>
      </c>
      <c r="X140" s="42"/>
      <c r="Y140" s="35"/>
    </row>
    <row r="141" spans="2:25" x14ac:dyDescent="0.2">
      <c r="B141" s="25">
        <v>106</v>
      </c>
      <c r="C141" s="36">
        <f>IF(B140&lt;'Умови та класичний графік'!$J$14,EDATE(C140,1),"")</f>
        <v>47423</v>
      </c>
      <c r="D141" s="36">
        <f>IF(B140&lt;'Умови та класичний графік'!$J$14,C140,"")</f>
        <v>47392</v>
      </c>
      <c r="E141" s="26">
        <f>IF(B140&lt;'Умови та класичний графік'!$J$14,C141-1,"")</f>
        <v>47422</v>
      </c>
      <c r="F141" s="37">
        <f>IF(B140&lt;'Умови та класичний графік'!$J$14,E141-D141+1,"")</f>
        <v>31</v>
      </c>
      <c r="G141" s="144">
        <f>IF(B140&lt;'Умови та класичний графік'!$J$14,-(SUM(J141:L141)),"")</f>
        <v>189697.00607135336</v>
      </c>
      <c r="H141" s="144"/>
      <c r="I141" s="32">
        <f>IF(B140&lt;'Умови та класичний графік'!$J$14,I140+J141,"")</f>
        <v>9277717.7484917808</v>
      </c>
      <c r="J141" s="32">
        <f>IF(B140&lt;'Умови та класичний графік'!$J$14,PPMT($J$21/12,B141,$J$12,$J$11,0,0),"")</f>
        <v>-15450.108748105466</v>
      </c>
      <c r="K141" s="32">
        <f>IF(B140&lt;'Умови та класичний графік'!$J$14,IPMT($J$21/12,B141,$J$12,$J$11,0,0),"")</f>
        <v>-174246.89732324789</v>
      </c>
      <c r="L141" s="30">
        <f>IF(B140&lt;'Умови та класичний графік'!$J$14,-(SUM(M141:V141)),"")</f>
        <v>0</v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>
        <f>IF(B140&lt;'Умови та класичний графік'!$J$14,XIRR($G$35:G141,$C$35:C141,0),"")</f>
        <v>0.37016942871093761</v>
      </c>
      <c r="X141" s="42"/>
      <c r="Y141" s="35"/>
    </row>
    <row r="142" spans="2:25" x14ac:dyDescent="0.2">
      <c r="B142" s="25">
        <v>107</v>
      </c>
      <c r="C142" s="36">
        <f>IF(B141&lt;'Умови та класичний графік'!$J$14,EDATE(C141,1),"")</f>
        <v>47453</v>
      </c>
      <c r="D142" s="36">
        <f>IF(B141&lt;'Умови та класичний графік'!$J$14,C141,"")</f>
        <v>47423</v>
      </c>
      <c r="E142" s="26">
        <f>IF(B141&lt;'Умови та класичний графік'!$J$14,C142-1,"")</f>
        <v>47452</v>
      </c>
      <c r="F142" s="37">
        <f>IF(B141&lt;'Умови та класичний графік'!$J$14,E142-D142+1,"")</f>
        <v>30</v>
      </c>
      <c r="G142" s="144">
        <f>IF(B141&lt;'Умови та класичний графік'!$J$14,-(SUM(J142:L142)),"")</f>
        <v>189697.00607135333</v>
      </c>
      <c r="H142" s="144"/>
      <c r="I142" s="32">
        <f>IF(B141&lt;'Умови та класичний графік'!$J$14,I141+J142,"")</f>
        <v>9261977.9502046481</v>
      </c>
      <c r="J142" s="32">
        <f>IF(B141&lt;'Умови та класичний графік'!$J$14,PPMT($J$21/12,B142,$J$12,$J$11,0,0),"")</f>
        <v>-15739.79828713244</v>
      </c>
      <c r="K142" s="32">
        <f>IF(B141&lt;'Умови та класичний графік'!$J$14,IPMT($J$21/12,B142,$J$12,$J$11,0,0),"")</f>
        <v>-173957.2077842209</v>
      </c>
      <c r="L142" s="30">
        <f>IF(B141&lt;'Умови та класичний графік'!$J$14,-(SUM(M142:V142)),"")</f>
        <v>0</v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>
        <f>IF(B141&lt;'Умови та класичний графік'!$J$14,XIRR($G$35:G142,$C$35:C142,0),"")</f>
        <v>0.37091209472656261</v>
      </c>
      <c r="X142" s="42"/>
      <c r="Y142" s="35"/>
    </row>
    <row r="143" spans="2:25" x14ac:dyDescent="0.2">
      <c r="B143" s="25">
        <v>108</v>
      </c>
      <c r="C143" s="36">
        <f>IF(B142&lt;'Умови та класичний графік'!$J$14,EDATE(C142,1),"")</f>
        <v>47484</v>
      </c>
      <c r="D143" s="36">
        <f>IF(B142&lt;'Умови та класичний графік'!$J$14,C142,"")</f>
        <v>47453</v>
      </c>
      <c r="E143" s="26">
        <f>IF(B142&lt;'Умови та класичний графік'!$J$14,C143-1,"")</f>
        <v>47483</v>
      </c>
      <c r="F143" s="37">
        <f>IF(B142&lt;'Умови та класичний графік'!$J$14,E143-D143+1,"")</f>
        <v>31</v>
      </c>
      <c r="G143" s="144">
        <f>IF(B142&lt;'Умови та класичний графік'!$J$14,-(SUM(J143:L143)),"")</f>
        <v>643434.8351634522</v>
      </c>
      <c r="H143" s="144"/>
      <c r="I143" s="32">
        <f>IF(B142&lt;'Умови та класичний графік'!$J$14,I142+J143,"")</f>
        <v>9245943.0306996312</v>
      </c>
      <c r="J143" s="32">
        <f>IF(B142&lt;'Умови та класичний графік'!$J$14,PPMT($J$21/12,B143,$J$12,$J$11,0,0),"")</f>
        <v>-16034.919505016178</v>
      </c>
      <c r="K143" s="32">
        <f>IF(B142&lt;'Умови та класичний графік'!$J$14,IPMT($J$21/12,B143,$J$12,$J$11,0,0),"")</f>
        <v>-173662.08656633715</v>
      </c>
      <c r="L143" s="30">
        <f>IF(B142&lt;'Умови та класичний графік'!$J$14,-(SUM(M143:V143)),"")</f>
        <v>-453737.82909209887</v>
      </c>
      <c r="M143" s="38"/>
      <c r="N143" s="39"/>
      <c r="O143" s="39"/>
      <c r="P143" s="32"/>
      <c r="Q143" s="40"/>
      <c r="R143" s="40"/>
      <c r="S143" s="41"/>
      <c r="T143" s="41"/>
      <c r="U143" s="33">
        <f>IF(B142&lt;'Умови та класичний графік'!$J$14,('Умови та класичний графік'!$J$15*$N$19)+(I143*$N$20),"")</f>
        <v>453737.82909209887</v>
      </c>
      <c r="V143" s="41"/>
      <c r="W143" s="43">
        <f>IF(B142&lt;'Умови та класичний графік'!$J$14,XIRR($G$35:G143,$C$35:C143,0),"")</f>
        <v>0.37332924316406257</v>
      </c>
      <c r="X143" s="42"/>
      <c r="Y143" s="35"/>
    </row>
    <row r="144" spans="2:25" x14ac:dyDescent="0.2">
      <c r="B144" s="25">
        <v>109</v>
      </c>
      <c r="C144" s="36">
        <f>IF(B143&lt;'Умови та класичний графік'!$J$14,EDATE(C143,1),"")</f>
        <v>47515</v>
      </c>
      <c r="D144" s="36">
        <f>IF(B143&lt;'Умови та класичний графік'!$J$14,C143,"")</f>
        <v>47484</v>
      </c>
      <c r="E144" s="26">
        <f>IF(B143&lt;'Умови та класичний графік'!$J$14,C144-1,"")</f>
        <v>47514</v>
      </c>
      <c r="F144" s="37">
        <f>IF(B143&lt;'Умови та класичний графік'!$J$14,E144-D144+1,"")</f>
        <v>31</v>
      </c>
      <c r="G144" s="144">
        <f>IF(B143&lt;'Умови та класичний графік'!$J$14,-(SUM(J144:L144)),"")</f>
        <v>189697.00607135333</v>
      </c>
      <c r="H144" s="144"/>
      <c r="I144" s="32">
        <f>IF(B143&lt;'Умови та класичний графік'!$J$14,I143+J144,"")</f>
        <v>9229607.4564538952</v>
      </c>
      <c r="J144" s="32">
        <f>IF(B143&lt;'Умови та класичний графік'!$J$14,PPMT($J$21/12,B144,$J$12,$J$11,0,0),"")</f>
        <v>-16335.574245735232</v>
      </c>
      <c r="K144" s="32">
        <f>IF(B143&lt;'Умови та класичний графік'!$J$14,IPMT($J$21/12,B144,$J$12,$J$11,0,0),"")</f>
        <v>-173361.43182561811</v>
      </c>
      <c r="L144" s="30">
        <f>IF(B143&lt;'Умови та класичний графік'!$J$14,-(SUM(M144:V144)),"")</f>
        <v>0</v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>
        <f>IF(B143&lt;'Умови та класичний графік'!$J$14,XIRR($G$35:G144,$C$35:C144,0),"")</f>
        <v>0.37401312988281255</v>
      </c>
      <c r="X144" s="42"/>
      <c r="Y144" s="35"/>
    </row>
    <row r="145" spans="2:25" x14ac:dyDescent="0.2">
      <c r="B145" s="25">
        <v>110</v>
      </c>
      <c r="C145" s="36">
        <f>IF(B144&lt;'Умови та класичний графік'!$J$14,EDATE(C144,1),"")</f>
        <v>47543</v>
      </c>
      <c r="D145" s="36">
        <f>IF(B144&lt;'Умови та класичний графік'!$J$14,C144,"")</f>
        <v>47515</v>
      </c>
      <c r="E145" s="26">
        <f>IF(B144&lt;'Умови та класичний графік'!$J$14,C145-1,"")</f>
        <v>47542</v>
      </c>
      <c r="F145" s="37">
        <f>IF(B144&lt;'Умови та класичний графік'!$J$14,E145-D145+1,"")</f>
        <v>28</v>
      </c>
      <c r="G145" s="144">
        <f>IF(B144&lt;'Умови та класичний графік'!$J$14,-(SUM(J145:L145)),"")</f>
        <v>189697.00607135333</v>
      </c>
      <c r="H145" s="144"/>
      <c r="I145" s="32">
        <f>IF(B144&lt;'Умови та класичний графік'!$J$14,I144+J145,"")</f>
        <v>9212965.5901910532</v>
      </c>
      <c r="J145" s="32">
        <f>IF(B144&lt;'Умови та класичний графік'!$J$14,PPMT($J$21/12,B145,$J$12,$J$11,0,0),"")</f>
        <v>-16641.866262842766</v>
      </c>
      <c r="K145" s="32">
        <f>IF(B144&lt;'Умови та класичний графік'!$J$14,IPMT($J$21/12,B145,$J$12,$J$11,0,0),"")</f>
        <v>-173055.13980851058</v>
      </c>
      <c r="L145" s="30">
        <f>IF(B144&lt;'Умови та класичний графік'!$J$14,-(SUM(M145:V145)),"")</f>
        <v>0</v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>
        <f>IF(B144&lt;'Умови та класичний графік'!$J$14,XIRR($G$35:G145,$C$35:C145,0),"")</f>
        <v>0.37467636230468759</v>
      </c>
      <c r="X145" s="42"/>
      <c r="Y145" s="35"/>
    </row>
    <row r="146" spans="2:25" x14ac:dyDescent="0.2">
      <c r="B146" s="25">
        <v>111</v>
      </c>
      <c r="C146" s="36">
        <f>IF(B145&lt;'Умови та класичний графік'!$J$14,EDATE(C145,1),"")</f>
        <v>47574</v>
      </c>
      <c r="D146" s="36">
        <f>IF(B145&lt;'Умови та класичний графік'!$J$14,C145,"")</f>
        <v>47543</v>
      </c>
      <c r="E146" s="26">
        <f>IF(B145&lt;'Умови та класичний графік'!$J$14,C146-1,"")</f>
        <v>47573</v>
      </c>
      <c r="F146" s="37">
        <f>IF(B145&lt;'Умови та класичний графік'!$J$14,E146-D146+1,"")</f>
        <v>31</v>
      </c>
      <c r="G146" s="144">
        <f>IF(B145&lt;'Умови та класичний графік'!$J$14,-(SUM(J146:L146)),"")</f>
        <v>189697.00607135333</v>
      </c>
      <c r="H146" s="144"/>
      <c r="I146" s="32">
        <f>IF(B145&lt;'Умови та класичний графік'!$J$14,I145+J146,"")</f>
        <v>9196011.6889357828</v>
      </c>
      <c r="J146" s="32">
        <f>IF(B145&lt;'Умови та класичний графік'!$J$14,PPMT($J$21/12,B146,$J$12,$J$11,0,0),"")</f>
        <v>-16953.901255271063</v>
      </c>
      <c r="K146" s="32">
        <f>IF(B145&lt;'Умови та класичний графік'!$J$14,IPMT($J$21/12,B146,$J$12,$J$11,0,0),"")</f>
        <v>-172743.10481608228</v>
      </c>
      <c r="L146" s="30">
        <f>IF(B145&lt;'Умови та класичний графік'!$J$14,-(SUM(M146:V146)),"")</f>
        <v>0</v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>
        <f>IF(B145&lt;'Умови та класичний графік'!$J$14,XIRR($G$35:G146,$C$35:C146,0),"")</f>
        <v>0.37531796386718752</v>
      </c>
      <c r="X146" s="42"/>
      <c r="Y146" s="35"/>
    </row>
    <row r="147" spans="2:25" x14ac:dyDescent="0.2">
      <c r="B147" s="25">
        <v>112</v>
      </c>
      <c r="C147" s="36">
        <f>IF(B146&lt;'Умови та класичний графік'!$J$14,EDATE(C146,1),"")</f>
        <v>47604</v>
      </c>
      <c r="D147" s="36">
        <f>IF(B146&lt;'Умови та класичний графік'!$J$14,C146,"")</f>
        <v>47574</v>
      </c>
      <c r="E147" s="26">
        <f>IF(B146&lt;'Умови та класичний графік'!$J$14,C147-1,"")</f>
        <v>47603</v>
      </c>
      <c r="F147" s="37">
        <f>IF(B146&lt;'Умови та класичний графік'!$J$14,E147-D147+1,"")</f>
        <v>30</v>
      </c>
      <c r="G147" s="144">
        <f>IF(B146&lt;'Умови та класичний графік'!$J$14,-(SUM(J147:L147)),"")</f>
        <v>189697.00607135333</v>
      </c>
      <c r="H147" s="144"/>
      <c r="I147" s="32">
        <f>IF(B146&lt;'Умови та класичний графік'!$J$14,I146+J147,"")</f>
        <v>9178739.9020319749</v>
      </c>
      <c r="J147" s="32">
        <f>IF(B146&lt;'Умови та класичний графік'!$J$14,PPMT($J$21/12,B147,$J$12,$J$11,0,0),"")</f>
        <v>-17271.786903807402</v>
      </c>
      <c r="K147" s="32">
        <f>IF(B146&lt;'Умови та класичний графік'!$J$14,IPMT($J$21/12,B147,$J$12,$J$11,0,0),"")</f>
        <v>-172425.21916754593</v>
      </c>
      <c r="L147" s="30">
        <f>IF(B146&lt;'Умови та класичний графік'!$J$14,-(SUM(M147:V147)),"")</f>
        <v>0</v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>
        <f>IF(B146&lt;'Умови та класичний графік'!$J$14,XIRR($G$35:G147,$C$35:C147,0),"")</f>
        <v>0.37593924316406269</v>
      </c>
      <c r="X147" s="42"/>
      <c r="Y147" s="35"/>
    </row>
    <row r="148" spans="2:25" x14ac:dyDescent="0.2">
      <c r="B148" s="25">
        <v>113</v>
      </c>
      <c r="C148" s="36">
        <f>IF(B147&lt;'Умови та класичний графік'!$J$14,EDATE(C147,1),"")</f>
        <v>47635</v>
      </c>
      <c r="D148" s="36">
        <f>IF(B147&lt;'Умови та класичний графік'!$J$14,C147,"")</f>
        <v>47604</v>
      </c>
      <c r="E148" s="26">
        <f>IF(B147&lt;'Умови та класичний графік'!$J$14,C148-1,"")</f>
        <v>47634</v>
      </c>
      <c r="F148" s="37">
        <f>IF(B147&lt;'Умови та класичний графік'!$J$14,E148-D148+1,"")</f>
        <v>31</v>
      </c>
      <c r="G148" s="144">
        <f>IF(B147&lt;'Умови та класичний графік'!$J$14,-(SUM(J148:L148)),"")</f>
        <v>189697.00607135333</v>
      </c>
      <c r="H148" s="144"/>
      <c r="I148" s="32">
        <f>IF(B147&lt;'Умови та класичний графік'!$J$14,I147+J148,"")</f>
        <v>9161144.2691237219</v>
      </c>
      <c r="J148" s="32">
        <f>IF(B147&lt;'Умови та класичний графік'!$J$14,PPMT($J$21/12,B148,$J$12,$J$11,0,0),"")</f>
        <v>-17595.632908253789</v>
      </c>
      <c r="K148" s="32">
        <f>IF(B147&lt;'Умови та класичний графік'!$J$14,IPMT($J$21/12,B148,$J$12,$J$11,0,0),"")</f>
        <v>-172101.37316309955</v>
      </c>
      <c r="L148" s="30">
        <f>IF(B147&lt;'Умови та класичний графік'!$J$14,-(SUM(M148:V148)),"")</f>
        <v>0</v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>
        <f>IF(B147&lt;'Умови та класичний графік'!$J$14,XIRR($G$35:G148,$C$35:C148,0),"")</f>
        <v>0.37654035644531259</v>
      </c>
      <c r="X148" s="42"/>
      <c r="Y148" s="35"/>
    </row>
    <row r="149" spans="2:25" x14ac:dyDescent="0.2">
      <c r="B149" s="25">
        <v>114</v>
      </c>
      <c r="C149" s="36">
        <f>IF(B148&lt;'Умови та класичний графік'!$J$14,EDATE(C148,1),"")</f>
        <v>47665</v>
      </c>
      <c r="D149" s="36">
        <f>IF(B148&lt;'Умови та класичний графік'!$J$14,C148,"")</f>
        <v>47635</v>
      </c>
      <c r="E149" s="26">
        <f>IF(B148&lt;'Умови та класичний графік'!$J$14,C149-1,"")</f>
        <v>47664</v>
      </c>
      <c r="F149" s="37">
        <f>IF(B148&lt;'Умови та класичний графік'!$J$14,E149-D149+1,"")</f>
        <v>30</v>
      </c>
      <c r="G149" s="144">
        <f>IF(B148&lt;'Умови та класичний графік'!$J$14,-(SUM(J149:L149)),"")</f>
        <v>189697.00607135336</v>
      </c>
      <c r="H149" s="144"/>
      <c r="I149" s="32">
        <f>IF(B148&lt;'Умови та класичний графік'!$J$14,I148+J149,"")</f>
        <v>9143218.7180984374</v>
      </c>
      <c r="J149" s="32">
        <f>IF(B148&lt;'Умови та класичний графік'!$J$14,PPMT($J$21/12,B149,$J$12,$J$11,0,0),"")</f>
        <v>-17925.551025283545</v>
      </c>
      <c r="K149" s="32">
        <f>IF(B148&lt;'Умови та класичний графік'!$J$14,IPMT($J$21/12,B149,$J$12,$J$11,0,0),"")</f>
        <v>-171771.45504606981</v>
      </c>
      <c r="L149" s="30">
        <f>IF(B148&lt;'Умови та класичний графік'!$J$14,-(SUM(M149:V149)),"")</f>
        <v>0</v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>
        <f>IF(B148&lt;'Умови та класичний графік'!$J$14,XIRR($G$35:G149,$C$35:C149,0),"")</f>
        <v>0.37712253417968755</v>
      </c>
      <c r="X149" s="42"/>
      <c r="Y149" s="35"/>
    </row>
    <row r="150" spans="2:25" x14ac:dyDescent="0.2">
      <c r="B150" s="25">
        <v>115</v>
      </c>
      <c r="C150" s="36">
        <f>IF(B149&lt;'Умови та класичний графік'!$J$14,EDATE(C149,1),"")</f>
        <v>47696</v>
      </c>
      <c r="D150" s="36">
        <f>IF(B149&lt;'Умови та класичний графік'!$J$14,C149,"")</f>
        <v>47665</v>
      </c>
      <c r="E150" s="26">
        <f>IF(B149&lt;'Умови та класичний графік'!$J$14,C150-1,"")</f>
        <v>47695</v>
      </c>
      <c r="F150" s="37">
        <f>IF(B149&lt;'Умови та класичний графік'!$J$14,E150-D150+1,"")</f>
        <v>31</v>
      </c>
      <c r="G150" s="144">
        <f>IF(B149&lt;'Умови та класичний графік'!$J$14,-(SUM(J150:L150)),"")</f>
        <v>189697.00607135336</v>
      </c>
      <c r="H150" s="144"/>
      <c r="I150" s="32">
        <f>IF(B149&lt;'Умови та класичний графік'!$J$14,I149+J150,"")</f>
        <v>9124957.0629914291</v>
      </c>
      <c r="J150" s="32">
        <f>IF(B149&lt;'Умови та класичний графік'!$J$14,PPMT($J$21/12,B150,$J$12,$J$11,0,0),"")</f>
        <v>-18261.655107007617</v>
      </c>
      <c r="K150" s="32">
        <f>IF(B149&lt;'Умови та класичний графік'!$J$14,IPMT($J$21/12,B150,$J$12,$J$11,0,0),"")</f>
        <v>-171435.35096434574</v>
      </c>
      <c r="L150" s="30">
        <f>IF(B149&lt;'Умови та класичний графік'!$J$14,-(SUM(M150:V150)),"")</f>
        <v>0</v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>
        <f>IF(B149&lt;'Умови та класичний графік'!$J$14,XIRR($G$35:G150,$C$35:C150,0),"")</f>
        <v>0.37768592285156266</v>
      </c>
      <c r="X150" s="42"/>
      <c r="Y150" s="35"/>
    </row>
    <row r="151" spans="2:25" x14ac:dyDescent="0.2">
      <c r="B151" s="25">
        <v>116</v>
      </c>
      <c r="C151" s="36">
        <f>IF(B150&lt;'Умови та класичний графік'!$J$14,EDATE(C150,1),"")</f>
        <v>47727</v>
      </c>
      <c r="D151" s="36">
        <f>IF(B150&lt;'Умови та класичний графік'!$J$14,C150,"")</f>
        <v>47696</v>
      </c>
      <c r="E151" s="26">
        <f>IF(B150&lt;'Умови та класичний графік'!$J$14,C151-1,"")</f>
        <v>47726</v>
      </c>
      <c r="F151" s="37">
        <f>IF(B150&lt;'Умови та класичний графік'!$J$14,E151-D151+1,"")</f>
        <v>31</v>
      </c>
      <c r="G151" s="144">
        <f>IF(B150&lt;'Умови та класичний графік'!$J$14,-(SUM(J151:L151)),"")</f>
        <v>189697.00607135333</v>
      </c>
      <c r="H151" s="144"/>
      <c r="I151" s="32">
        <f>IF(B150&lt;'Умови та класичний графік'!$J$14,I150+J151,"")</f>
        <v>9106353.0018511657</v>
      </c>
      <c r="J151" s="32">
        <f>IF(B150&lt;'Умови та класичний графік'!$J$14,PPMT($J$21/12,B151,$J$12,$J$11,0,0),"")</f>
        <v>-18604.061140264006</v>
      </c>
      <c r="K151" s="32">
        <f>IF(B150&lt;'Умови та класичний графік'!$J$14,IPMT($J$21/12,B151,$J$12,$J$11,0,0),"")</f>
        <v>-171092.94493108933</v>
      </c>
      <c r="L151" s="30">
        <f>IF(B150&lt;'Умови та класичний графік'!$J$14,-(SUM(M151:V151)),"")</f>
        <v>0</v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>
        <f>IF(B150&lt;'Умови та класичний графік'!$J$14,XIRR($G$35:G151,$C$35:C151,0),"")</f>
        <v>0.37823116699218762</v>
      </c>
      <c r="X151" s="42"/>
      <c r="Y151" s="35"/>
    </row>
    <row r="152" spans="2:25" x14ac:dyDescent="0.2">
      <c r="B152" s="25">
        <v>117</v>
      </c>
      <c r="C152" s="36">
        <f>IF(B151&lt;'Умови та класичний графік'!$J$14,EDATE(C151,1),"")</f>
        <v>47757</v>
      </c>
      <c r="D152" s="36">
        <f>IF(B151&lt;'Умови та класичний графік'!$J$14,C151,"")</f>
        <v>47727</v>
      </c>
      <c r="E152" s="26">
        <f>IF(B151&lt;'Умови та класичний графік'!$J$14,C152-1,"")</f>
        <v>47756</v>
      </c>
      <c r="F152" s="37">
        <f>IF(B151&lt;'Умови та класичний графік'!$J$14,E152-D152+1,"")</f>
        <v>30</v>
      </c>
      <c r="G152" s="144">
        <f>IF(B151&lt;'Умови та класичний графік'!$J$14,-(SUM(J152:L152)),"")</f>
        <v>189697.00607135336</v>
      </c>
      <c r="H152" s="144"/>
      <c r="I152" s="32">
        <f>IF(B151&lt;'Умови та класичний графік'!$J$14,I151+J152,"")</f>
        <v>9087400.1145645212</v>
      </c>
      <c r="J152" s="32">
        <f>IF(B151&lt;'Умови та класичний графік'!$J$14,PPMT($J$21/12,B152,$J$12,$J$11,0,0),"")</f>
        <v>-18952.887286643956</v>
      </c>
      <c r="K152" s="32">
        <f>IF(B151&lt;'Умови та класичний графік'!$J$14,IPMT($J$21/12,B152,$J$12,$J$11,0,0),"")</f>
        <v>-170744.1187847094</v>
      </c>
      <c r="L152" s="30">
        <f>IF(B151&lt;'Умови та класичний графік'!$J$14,-(SUM(M152:V152)),"")</f>
        <v>0</v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>
        <f>IF(B151&lt;'Умови та класичний графік'!$J$14,XIRR($G$35:G152,$C$35:C152,0),"")</f>
        <v>0.37875937988281261</v>
      </c>
      <c r="X152" s="42"/>
      <c r="Y152" s="35"/>
    </row>
    <row r="153" spans="2:25" x14ac:dyDescent="0.2">
      <c r="B153" s="25">
        <v>118</v>
      </c>
      <c r="C153" s="36">
        <f>IF(B152&lt;'Умови та класичний графік'!$J$14,EDATE(C152,1),"")</f>
        <v>47788</v>
      </c>
      <c r="D153" s="36">
        <f>IF(B152&lt;'Умови та класичний графік'!$J$14,C152,"")</f>
        <v>47757</v>
      </c>
      <c r="E153" s="26">
        <f>IF(B152&lt;'Умови та класичний графік'!$J$14,C153-1,"")</f>
        <v>47787</v>
      </c>
      <c r="F153" s="37">
        <f>IF(B152&lt;'Умови та класичний графік'!$J$14,E153-D153+1,"")</f>
        <v>31</v>
      </c>
      <c r="G153" s="144">
        <f>IF(B152&lt;'Умови та класичний графік'!$J$14,-(SUM(J153:L153)),"")</f>
        <v>189697.00607135336</v>
      </c>
      <c r="H153" s="144"/>
      <c r="I153" s="32">
        <f>IF(B152&lt;'Умови та класичний графік'!$J$14,I152+J153,"")</f>
        <v>9068091.8606412522</v>
      </c>
      <c r="J153" s="32">
        <f>IF(B152&lt;'Умови та класичний графік'!$J$14,PPMT($J$21/12,B153,$J$12,$J$11,0,0),"")</f>
        <v>-19308.253923268527</v>
      </c>
      <c r="K153" s="32">
        <f>IF(B152&lt;'Умови та класичний графік'!$J$14,IPMT($J$21/12,B153,$J$12,$J$11,0,0),"")</f>
        <v>-170388.75214808484</v>
      </c>
      <c r="L153" s="30">
        <f>IF(B152&lt;'Умови та класичний графік'!$J$14,-(SUM(M153:V153)),"")</f>
        <v>0</v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>
        <f>IF(B152&lt;'Умови та класичний графік'!$J$14,XIRR($G$35:G153,$C$35:C153,0),"")</f>
        <v>0.37927067871093756</v>
      </c>
      <c r="X153" s="42"/>
      <c r="Y153" s="35"/>
    </row>
    <row r="154" spans="2:25" x14ac:dyDescent="0.2">
      <c r="B154" s="25">
        <v>119</v>
      </c>
      <c r="C154" s="36">
        <f>IF(B153&lt;'Умови та класичний графік'!$J$14,EDATE(C153,1),"")</f>
        <v>47818</v>
      </c>
      <c r="D154" s="36">
        <f>IF(B153&lt;'Умови та класичний графік'!$J$14,C153,"")</f>
        <v>47788</v>
      </c>
      <c r="E154" s="26">
        <f>IF(B153&lt;'Умови та класичний графік'!$J$14,C154-1,"")</f>
        <v>47817</v>
      </c>
      <c r="F154" s="37">
        <f>IF(B153&lt;'Умови та класичний графік'!$J$14,E154-D154+1,"")</f>
        <v>30</v>
      </c>
      <c r="G154" s="144">
        <f>IF(B153&lt;'Умови та класичний графік'!$J$14,-(SUM(J154:L154)),"")</f>
        <v>189697.00607135333</v>
      </c>
      <c r="H154" s="144"/>
      <c r="I154" s="32">
        <f>IF(B153&lt;'Умови та класичний графік'!$J$14,I153+J154,"")</f>
        <v>9048421.5769569222</v>
      </c>
      <c r="J154" s="32">
        <f>IF(B153&lt;'Умови та класичний графік'!$J$14,PPMT($J$21/12,B154,$J$12,$J$11,0,0),"")</f>
        <v>-19670.283684329814</v>
      </c>
      <c r="K154" s="32">
        <f>IF(B153&lt;'Умови та класичний графік'!$J$14,IPMT($J$21/12,B154,$J$12,$J$11,0,0),"")</f>
        <v>-170026.72238702353</v>
      </c>
      <c r="L154" s="30">
        <f>IF(B153&lt;'Умови та класичний графік'!$J$14,-(SUM(M154:V154)),"")</f>
        <v>0</v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>
        <f>IF(B153&lt;'Умови та класичний графік'!$J$14,XIRR($G$35:G154,$C$35:C154,0),"")</f>
        <v>0.37976606933593759</v>
      </c>
      <c r="X154" s="42"/>
      <c r="Y154" s="35"/>
    </row>
    <row r="155" spans="2:25" x14ac:dyDescent="0.2">
      <c r="B155" s="25">
        <v>120</v>
      </c>
      <c r="C155" s="36">
        <f>IF(B154&lt;'Умови та класичний графік'!$J$14,EDATE(C154,1),"")</f>
        <v>47849</v>
      </c>
      <c r="D155" s="36">
        <f>IF(B154&lt;'Умови та класичний графік'!$J$14,C154,"")</f>
        <v>47818</v>
      </c>
      <c r="E155" s="26">
        <f>IF(B154&lt;'Умови та класичний графік'!$J$14,C155-1,"")</f>
        <v>47848</v>
      </c>
      <c r="F155" s="37">
        <f>IF(B154&lt;'Умови та класичний графік'!$J$14,E155-D155+1,"")</f>
        <v>31</v>
      </c>
      <c r="G155" s="144">
        <f>IF(B154&lt;'Умови та класичний графік'!$J$14,-(SUM(J155:L155)),"")</f>
        <v>642782.15349771385</v>
      </c>
      <c r="H155" s="144"/>
      <c r="I155" s="32">
        <f>IF(B154&lt;'Умови та класичний графік'!$J$14,I154+J155,"")</f>
        <v>9028382.4754535109</v>
      </c>
      <c r="J155" s="32">
        <f>IF(B154&lt;'Умови та класичний графік'!$J$14,PPMT($J$21/12,B155,$J$12,$J$11,0,0),"")</f>
        <v>-20039.101503410999</v>
      </c>
      <c r="K155" s="32">
        <f>IF(B154&lt;'Умови та класичний графік'!$J$14,IPMT($J$21/12,B155,$J$12,$J$11,0,0),"")</f>
        <v>-169657.90456794231</v>
      </c>
      <c r="L155" s="30">
        <f>IF(B154&lt;'Умови та класичний графік'!$J$14,-(SUM(M155:V155)),"")</f>
        <v>-453085.14742636052</v>
      </c>
      <c r="M155" s="38"/>
      <c r="N155" s="39"/>
      <c r="O155" s="39"/>
      <c r="P155" s="32"/>
      <c r="Q155" s="40"/>
      <c r="R155" s="40"/>
      <c r="S155" s="41"/>
      <c r="T155" s="41"/>
      <c r="U155" s="33">
        <f>IF(B154&lt;'Умови та класичний графік'!$J$14,('Умови та класичний графік'!$J$15*$N$19)+(I155*$N$20),"")</f>
        <v>453085.14742636052</v>
      </c>
      <c r="V155" s="41"/>
      <c r="W155" s="43">
        <f>IF(B154&lt;'Умови та класичний графік'!$J$14,XIRR($G$35:G155,$C$35:C155,0),"")</f>
        <v>0.38138162597656278</v>
      </c>
      <c r="X155" s="42"/>
      <c r="Y155" s="35"/>
    </row>
    <row r="156" spans="2:25" x14ac:dyDescent="0.2">
      <c r="B156" s="25">
        <v>121</v>
      </c>
      <c r="C156" s="36">
        <f>IF(B155&lt;'Умови та класичний графік'!$J$14,EDATE(C155,1),"")</f>
        <v>47880</v>
      </c>
      <c r="D156" s="36">
        <f>IF(B155&lt;'Умови та класичний графік'!$J$14,C155,"")</f>
        <v>47849</v>
      </c>
      <c r="E156" s="26">
        <f>IF(B155&lt;'Умови та класичний графік'!$J$14,C156-1,"")</f>
        <v>47879</v>
      </c>
      <c r="F156" s="37">
        <f>IF(B155&lt;'Умови та класичний графік'!$J$14,E156-D156+1,"")</f>
        <v>31</v>
      </c>
      <c r="G156" s="144">
        <f>IF(B155&lt;'Умови та класичний графік'!$J$14,-(SUM(J156:L156)),"")</f>
        <v>189697.00607135333</v>
      </c>
      <c r="H156" s="144"/>
      <c r="I156" s="32">
        <f>IF(B155&lt;'Умови та класичний графік'!$J$14,I155+J156,"")</f>
        <v>9007967.640796911</v>
      </c>
      <c r="J156" s="32">
        <f>IF(B155&lt;'Умови та класичний графік'!$J$14,PPMT($J$21/12,B156,$J$12,$J$11,0,0),"")</f>
        <v>-20414.834656599953</v>
      </c>
      <c r="K156" s="32">
        <f>IF(B155&lt;'Умови та класичний графік'!$J$14,IPMT($J$21/12,B156,$J$12,$J$11,0,0),"")</f>
        <v>-169282.17141475336</v>
      </c>
      <c r="L156" s="30">
        <f>IF(B155&lt;'Умови та класичний графік'!$J$14,-(SUM(M156:V156)),"")</f>
        <v>0</v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>
        <f>IF(B155&lt;'Умови та класичний графік'!$J$14,XIRR($G$35:G156,$C$35:C156,0),"")</f>
        <v>0.38184053222656256</v>
      </c>
      <c r="X156" s="42"/>
      <c r="Y156" s="35"/>
    </row>
    <row r="157" spans="2:25" x14ac:dyDescent="0.2">
      <c r="B157" s="25">
        <v>122</v>
      </c>
      <c r="C157" s="36">
        <f>IF(B156&lt;'Умови та класичний графік'!$J$14,EDATE(C156,1),"")</f>
        <v>47908</v>
      </c>
      <c r="D157" s="36">
        <f>IF(B156&lt;'Умови та класичний графік'!$J$14,C156,"")</f>
        <v>47880</v>
      </c>
      <c r="E157" s="26">
        <f>IF(B156&lt;'Умови та класичний графік'!$J$14,C157-1,"")</f>
        <v>47907</v>
      </c>
      <c r="F157" s="37">
        <f>IF(B156&lt;'Умови та класичний графік'!$J$14,E157-D157+1,"")</f>
        <v>28</v>
      </c>
      <c r="G157" s="144">
        <f>IF(B156&lt;'Умови та класичний графік'!$J$14,-(SUM(J157:L157)),"")</f>
        <v>189697.00607135333</v>
      </c>
      <c r="H157" s="144"/>
      <c r="I157" s="32">
        <f>IF(B156&lt;'Умови та класичний графік'!$J$14,I156+J157,"")</f>
        <v>8987170.0279904995</v>
      </c>
      <c r="J157" s="32">
        <f>IF(B156&lt;'Умови та класичний графік'!$J$14,PPMT($J$21/12,B157,$J$12,$J$11,0,0),"")</f>
        <v>-20797.612806411209</v>
      </c>
      <c r="K157" s="32">
        <f>IF(B156&lt;'Умови та класичний графік'!$J$14,IPMT($J$21/12,B157,$J$12,$J$11,0,0),"")</f>
        <v>-168899.39326494213</v>
      </c>
      <c r="L157" s="30">
        <f>IF(B156&lt;'Умови та класичний графік'!$J$14,-(SUM(M157:V157)),"")</f>
        <v>0</v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>
        <f>IF(B156&lt;'Умови та класичний графік'!$J$14,XIRR($G$35:G157,$C$35:C157,0),"")</f>
        <v>0.38228605957031259</v>
      </c>
      <c r="X157" s="42"/>
      <c r="Y157" s="35"/>
    </row>
    <row r="158" spans="2:25" x14ac:dyDescent="0.2">
      <c r="B158" s="25">
        <v>123</v>
      </c>
      <c r="C158" s="36">
        <f>IF(B157&lt;'Умови та класичний графік'!$J$14,EDATE(C157,1),"")</f>
        <v>47939</v>
      </c>
      <c r="D158" s="36">
        <f>IF(B157&lt;'Умови та класичний графік'!$J$14,C157,"")</f>
        <v>47908</v>
      </c>
      <c r="E158" s="26">
        <f>IF(B157&lt;'Умови та класичний графік'!$J$14,C158-1,"")</f>
        <v>47938</v>
      </c>
      <c r="F158" s="37">
        <f>IF(B157&lt;'Умови та класичний графік'!$J$14,E158-D158+1,"")</f>
        <v>31</v>
      </c>
      <c r="G158" s="144">
        <f>IF(B157&lt;'Умови та класичний графік'!$J$14,-(SUM(J158:L158)),"")</f>
        <v>189697.00607135333</v>
      </c>
      <c r="H158" s="144"/>
      <c r="I158" s="32">
        <f>IF(B157&lt;'Умови та класичний графік'!$J$14,I157+J158,"")</f>
        <v>8965982.4599439688</v>
      </c>
      <c r="J158" s="32">
        <f>IF(B157&lt;'Умови та класичний графік'!$J$14,PPMT($J$21/12,B158,$J$12,$J$11,0,0),"")</f>
        <v>-21187.568046531414</v>
      </c>
      <c r="K158" s="32">
        <f>IF(B157&lt;'Умови та класичний графік'!$J$14,IPMT($J$21/12,B158,$J$12,$J$11,0,0),"")</f>
        <v>-168509.43802482192</v>
      </c>
      <c r="L158" s="30">
        <f>IF(B157&lt;'Умови та класичний графік'!$J$14,-(SUM(M158:V158)),"")</f>
        <v>0</v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>
        <f>IF(B157&lt;'Умови та класичний графік'!$J$14,XIRR($G$35:G158,$C$35:C158,0),"")</f>
        <v>0.38271749511718767</v>
      </c>
      <c r="X158" s="42"/>
      <c r="Y158" s="35"/>
    </row>
    <row r="159" spans="2:25" x14ac:dyDescent="0.2">
      <c r="B159" s="25">
        <v>124</v>
      </c>
      <c r="C159" s="36">
        <f>IF(B158&lt;'Умови та класичний графік'!$J$14,EDATE(C158,1),"")</f>
        <v>47969</v>
      </c>
      <c r="D159" s="36">
        <f>IF(B158&lt;'Умови та класичний графік'!$J$14,C158,"")</f>
        <v>47939</v>
      </c>
      <c r="E159" s="26">
        <f>IF(B158&lt;'Умови та класичний графік'!$J$14,C159-1,"")</f>
        <v>47968</v>
      </c>
      <c r="F159" s="37">
        <f>IF(B158&lt;'Умови та класичний графік'!$J$14,E159-D159+1,"")</f>
        <v>30</v>
      </c>
      <c r="G159" s="144">
        <f>IF(B158&lt;'Умови та класичний графік'!$J$14,-(SUM(J159:L159)),"")</f>
        <v>189697.00607135336</v>
      </c>
      <c r="H159" s="144"/>
      <c r="I159" s="32">
        <f>IF(B158&lt;'Умови та класичний графік'!$J$14,I158+J159,"")</f>
        <v>8944397.6249965653</v>
      </c>
      <c r="J159" s="32">
        <f>IF(B158&lt;'Умови та класичний графік'!$J$14,PPMT($J$21/12,B159,$J$12,$J$11,0,0),"")</f>
        <v>-21584.834947403873</v>
      </c>
      <c r="K159" s="32">
        <f>IF(B158&lt;'Умови та класичний графік'!$J$14,IPMT($J$21/12,B159,$J$12,$J$11,0,0),"")</f>
        <v>-168112.17112394949</v>
      </c>
      <c r="L159" s="30">
        <f>IF(B158&lt;'Умови та класичний графік'!$J$14,-(SUM(M159:V159)),"")</f>
        <v>0</v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>
        <f>IF(B158&lt;'Умови та класичний графік'!$J$14,XIRR($G$35:G159,$C$35:C159,0),"")</f>
        <v>0.38313567871093757</v>
      </c>
      <c r="X159" s="42"/>
      <c r="Y159" s="35"/>
    </row>
    <row r="160" spans="2:25" x14ac:dyDescent="0.2">
      <c r="B160" s="25">
        <v>125</v>
      </c>
      <c r="C160" s="36">
        <f>IF(B159&lt;'Умови та класичний графік'!$J$14,EDATE(C159,1),"")</f>
        <v>48000</v>
      </c>
      <c r="D160" s="36">
        <f>IF(B159&lt;'Умови та класичний графік'!$J$14,C159,"")</f>
        <v>47969</v>
      </c>
      <c r="E160" s="26">
        <f>IF(B159&lt;'Умови та класичний графік'!$J$14,C160-1,"")</f>
        <v>47999</v>
      </c>
      <c r="F160" s="37">
        <f>IF(B159&lt;'Умови та класичний графік'!$J$14,E160-D160+1,"")</f>
        <v>31</v>
      </c>
      <c r="G160" s="144">
        <f>IF(B159&lt;'Умови та класичний графік'!$J$14,-(SUM(J160:L160)),"")</f>
        <v>189697.00607135333</v>
      </c>
      <c r="H160" s="144"/>
      <c r="I160" s="32">
        <f>IF(B159&lt;'Умови та класичний графік'!$J$14,I159+J160,"")</f>
        <v>8922408.0743938982</v>
      </c>
      <c r="J160" s="32">
        <f>IF(B159&lt;'Умови та класичний графік'!$J$14,PPMT($J$21/12,B160,$J$12,$J$11,0,0),"")</f>
        <v>-21989.550602667696</v>
      </c>
      <c r="K160" s="32">
        <f>IF(B159&lt;'Умови та класичний графік'!$J$14,IPMT($J$21/12,B160,$J$12,$J$11,0,0),"")</f>
        <v>-167707.45546868563</v>
      </c>
      <c r="L160" s="30">
        <f>IF(B159&lt;'Умови та класичний графік'!$J$14,-(SUM(M160:V160)),"")</f>
        <v>0</v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>
        <f>IF(B159&lt;'Умови та класичний графік'!$J$14,XIRR($G$35:G160,$C$35:C160,0),"")</f>
        <v>0.38354068847656264</v>
      </c>
      <c r="X160" s="42"/>
      <c r="Y160" s="35"/>
    </row>
    <row r="161" spans="2:25" x14ac:dyDescent="0.2">
      <c r="B161" s="25">
        <v>126</v>
      </c>
      <c r="C161" s="36">
        <f>IF(B160&lt;'Умови та класичний графік'!$J$14,EDATE(C160,1),"")</f>
        <v>48030</v>
      </c>
      <c r="D161" s="36">
        <f>IF(B160&lt;'Умови та класичний графік'!$J$14,C160,"")</f>
        <v>48000</v>
      </c>
      <c r="E161" s="26">
        <f>IF(B160&lt;'Умови та класичний графік'!$J$14,C161-1,"")</f>
        <v>48029</v>
      </c>
      <c r="F161" s="37">
        <f>IF(B160&lt;'Умови та класичний графік'!$J$14,E161-D161+1,"")</f>
        <v>30</v>
      </c>
      <c r="G161" s="144">
        <f>IF(B160&lt;'Умови та класичний графік'!$J$14,-(SUM(J161:L161)),"")</f>
        <v>189697.00607135333</v>
      </c>
      <c r="H161" s="144"/>
      <c r="I161" s="32">
        <f>IF(B160&lt;'Умови та класичний графік'!$J$14,I160+J161,"")</f>
        <v>8900006.21971743</v>
      </c>
      <c r="J161" s="32">
        <f>IF(B160&lt;'Умови та класичний графік'!$J$14,PPMT($J$21/12,B161,$J$12,$J$11,0,0),"")</f>
        <v>-22401.854676467723</v>
      </c>
      <c r="K161" s="32">
        <f>IF(B160&lt;'Умови та класичний графік'!$J$14,IPMT($J$21/12,B161,$J$12,$J$11,0,0),"")</f>
        <v>-167295.15139488562</v>
      </c>
      <c r="L161" s="30">
        <f>IF(B160&lt;'Умови та класичний графік'!$J$14,-(SUM(M161:V161)),"")</f>
        <v>0</v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>
        <f>IF(B160&lt;'Умови та класичний графік'!$J$14,XIRR($G$35:G161,$C$35:C161,0),"")</f>
        <v>0.38393331542968756</v>
      </c>
      <c r="X161" s="42"/>
      <c r="Y161" s="35"/>
    </row>
    <row r="162" spans="2:25" x14ac:dyDescent="0.2">
      <c r="B162" s="25">
        <v>127</v>
      </c>
      <c r="C162" s="36">
        <f>IF(B161&lt;'Умови та класичний графік'!$J$14,EDATE(C161,1),"")</f>
        <v>48061</v>
      </c>
      <c r="D162" s="36">
        <f>IF(B161&lt;'Умови та класичний графік'!$J$14,C161,"")</f>
        <v>48030</v>
      </c>
      <c r="E162" s="26">
        <f>IF(B161&lt;'Умови та класичний графік'!$J$14,C162-1,"")</f>
        <v>48060</v>
      </c>
      <c r="F162" s="37">
        <f>IF(B161&lt;'Умови та класичний графік'!$J$14,E162-D162+1,"")</f>
        <v>31</v>
      </c>
      <c r="G162" s="144">
        <f>IF(B161&lt;'Умови та класичний графік'!$J$14,-(SUM(J162:L162)),"")</f>
        <v>189697.00607135333</v>
      </c>
      <c r="H162" s="144"/>
      <c r="I162" s="32">
        <f>IF(B161&lt;'Умови та класичний графік'!$J$14,I161+J162,"")</f>
        <v>8877184.330265779</v>
      </c>
      <c r="J162" s="32">
        <f>IF(B161&lt;'Умови та класичний графік'!$J$14,PPMT($J$21/12,B162,$J$12,$J$11,0,0),"")</f>
        <v>-22821.889451651492</v>
      </c>
      <c r="K162" s="32">
        <f>IF(B161&lt;'Умови та класичний графік'!$J$14,IPMT($J$21/12,B162,$J$12,$J$11,0,0),"")</f>
        <v>-166875.11661970185</v>
      </c>
      <c r="L162" s="30">
        <f>IF(B161&lt;'Умови та класичний графік'!$J$14,-(SUM(M162:V162)),"")</f>
        <v>0</v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>
        <f>IF(B161&lt;'Умови та класичний графік'!$J$14,XIRR($G$35:G162,$C$35:C162,0),"")</f>
        <v>0.3843136279296876</v>
      </c>
      <c r="X162" s="42"/>
      <c r="Y162" s="35"/>
    </row>
    <row r="163" spans="2:25" x14ac:dyDescent="0.2">
      <c r="B163" s="25">
        <v>128</v>
      </c>
      <c r="C163" s="36">
        <f>IF(B162&lt;'Умови та класичний графік'!$J$14,EDATE(C162,1),"")</f>
        <v>48092</v>
      </c>
      <c r="D163" s="36">
        <f>IF(B162&lt;'Умови та класичний графік'!$J$14,C162,"")</f>
        <v>48061</v>
      </c>
      <c r="E163" s="26">
        <f>IF(B162&lt;'Умови та класичний графік'!$J$14,C163-1,"")</f>
        <v>48091</v>
      </c>
      <c r="F163" s="37">
        <f>IF(B162&lt;'Умови та класичний графік'!$J$14,E163-D163+1,"")</f>
        <v>31</v>
      </c>
      <c r="G163" s="144">
        <f>IF(B162&lt;'Умови та класичний графік'!$J$14,-(SUM(J163:L163)),"")</f>
        <v>189697.00607135336</v>
      </c>
      <c r="H163" s="144"/>
      <c r="I163" s="32">
        <f>IF(B162&lt;'Умови та класичний графік'!$J$14,I162+J163,"")</f>
        <v>8853934.5303869098</v>
      </c>
      <c r="J163" s="32">
        <f>IF(B162&lt;'Умови та класичний графік'!$J$14,PPMT($J$21/12,B163,$J$12,$J$11,0,0),"")</f>
        <v>-23249.799878869955</v>
      </c>
      <c r="K163" s="32">
        <f>IF(B162&lt;'Умови та класичний графік'!$J$14,IPMT($J$21/12,B163,$J$12,$J$11,0,0),"")</f>
        <v>-166447.2061924834</v>
      </c>
      <c r="L163" s="30">
        <f>IF(B162&lt;'Умови та класичний графік'!$J$14,-(SUM(M163:V163)),"")</f>
        <v>0</v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>
        <f>IF(B162&lt;'Умови та класичний графік'!$J$14,XIRR($G$35:G163,$C$35:C163,0),"")</f>
        <v>0.3846820361328126</v>
      </c>
      <c r="X163" s="42"/>
      <c r="Y163" s="35"/>
    </row>
    <row r="164" spans="2:25" x14ac:dyDescent="0.2">
      <c r="B164" s="25">
        <v>129</v>
      </c>
      <c r="C164" s="36">
        <f>IF(B163&lt;'Умови та класичний графік'!$J$14,EDATE(C163,1),"")</f>
        <v>48122</v>
      </c>
      <c r="D164" s="36">
        <f>IF(B163&lt;'Умови та класичний графік'!$J$14,C163,"")</f>
        <v>48092</v>
      </c>
      <c r="E164" s="26">
        <f>IF(B163&lt;'Умови та класичний графік'!$J$14,C164-1,"")</f>
        <v>48121</v>
      </c>
      <c r="F164" s="37">
        <f>IF(B163&lt;'Умови та класичний графік'!$J$14,E164-D164+1,"")</f>
        <v>30</v>
      </c>
      <c r="G164" s="144">
        <f>IF(B163&lt;'Умови та класичний графік'!$J$14,-(SUM(J164:L164)),"")</f>
        <v>189697.00607135336</v>
      </c>
      <c r="H164" s="144"/>
      <c r="I164" s="32">
        <f>IF(B163&lt;'Умови та класичний графік'!$J$14,I163+J164,"")</f>
        <v>8830248.7967603114</v>
      </c>
      <c r="J164" s="32">
        <f>IF(B163&lt;'Умови та класичний графік'!$J$14,PPMT($J$21/12,B164,$J$12,$J$11,0,0),"")</f>
        <v>-23685.733626598772</v>
      </c>
      <c r="K164" s="32">
        <f>IF(B163&lt;'Умови та класичний графік'!$J$14,IPMT($J$21/12,B164,$J$12,$J$11,0,0),"")</f>
        <v>-166011.27244475458</v>
      </c>
      <c r="L164" s="30">
        <f>IF(B163&lt;'Умови та класичний графік'!$J$14,-(SUM(M164:V164)),"")</f>
        <v>0</v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>
        <f>IF(B163&lt;'Умови та класичний графік'!$J$14,XIRR($G$35:G164,$C$35:C164,0),"")</f>
        <v>0.38503926269531252</v>
      </c>
      <c r="X164" s="42"/>
      <c r="Y164" s="35"/>
    </row>
    <row r="165" spans="2:25" x14ac:dyDescent="0.2">
      <c r="B165" s="25">
        <v>130</v>
      </c>
      <c r="C165" s="36">
        <f>IF(B164&lt;'Умови та класичний графік'!$J$14,EDATE(C164,1),"")</f>
        <v>48153</v>
      </c>
      <c r="D165" s="36">
        <f>IF(B164&lt;'Умови та класичний графік'!$J$14,C164,"")</f>
        <v>48122</v>
      </c>
      <c r="E165" s="26">
        <f>IF(B164&lt;'Умови та класичний графік'!$J$14,C165-1,"")</f>
        <v>48152</v>
      </c>
      <c r="F165" s="37">
        <f>IF(B164&lt;'Умови та класичний графік'!$J$14,E165-D165+1,"")</f>
        <v>31</v>
      </c>
      <c r="G165" s="144">
        <f>IF(B164&lt;'Умови та класичний графік'!$J$14,-(SUM(J165:L165)),"")</f>
        <v>189697.00607135333</v>
      </c>
      <c r="H165" s="144"/>
      <c r="I165" s="32">
        <f>IF(B164&lt;'Умови та класичний графік'!$J$14,I164+J165,"")</f>
        <v>8806118.9556282144</v>
      </c>
      <c r="J165" s="32">
        <f>IF(B164&lt;'Умови та класичний графік'!$J$14,PPMT($J$21/12,B165,$J$12,$J$11,0,0),"")</f>
        <v>-24129.841132097496</v>
      </c>
      <c r="K165" s="32">
        <f>IF(B164&lt;'Умови та класичний графік'!$J$14,IPMT($J$21/12,B165,$J$12,$J$11,0,0),"")</f>
        <v>-165567.16493925583</v>
      </c>
      <c r="L165" s="30">
        <f>IF(B164&lt;'Умови та класичний графік'!$J$14,-(SUM(M165:V165)),"")</f>
        <v>0</v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>
        <f>IF(B164&lt;'Умови та класичний графік'!$J$14,XIRR($G$35:G165,$C$35:C165,0),"")</f>
        <v>0.38538534667968771</v>
      </c>
      <c r="X165" s="42"/>
      <c r="Y165" s="35"/>
    </row>
    <row r="166" spans="2:25" x14ac:dyDescent="0.2">
      <c r="B166" s="25">
        <v>131</v>
      </c>
      <c r="C166" s="36">
        <f>IF(B165&lt;'Умови та класичний графік'!$J$14,EDATE(C165,1),"")</f>
        <v>48183</v>
      </c>
      <c r="D166" s="36">
        <f>IF(B165&lt;'Умови та класичний графік'!$J$14,C165,"")</f>
        <v>48153</v>
      </c>
      <c r="E166" s="26">
        <f>IF(B165&lt;'Умови та класичний графік'!$J$14,C166-1,"")</f>
        <v>48182</v>
      </c>
      <c r="F166" s="37">
        <f>IF(B165&lt;'Умови та класичний графік'!$J$14,E166-D166+1,"")</f>
        <v>30</v>
      </c>
      <c r="G166" s="144">
        <f>IF(B165&lt;'Умови та класичний графік'!$J$14,-(SUM(J166:L166)),"")</f>
        <v>189697.00607135333</v>
      </c>
      <c r="H166" s="144"/>
      <c r="I166" s="32">
        <f>IF(B165&lt;'Умови та класичний графік'!$J$14,I165+J166,"")</f>
        <v>8781536.6799748894</v>
      </c>
      <c r="J166" s="32">
        <f>IF(B165&lt;'Умови та класичний графік'!$J$14,PPMT($J$21/12,B166,$J$12,$J$11,0,0),"")</f>
        <v>-24582.275653324319</v>
      </c>
      <c r="K166" s="32">
        <f>IF(B165&lt;'Умови та класичний графік'!$J$14,IPMT($J$21/12,B166,$J$12,$J$11,0,0),"")</f>
        <v>-165114.73041802901</v>
      </c>
      <c r="L166" s="30">
        <f>IF(B165&lt;'Умови та класичний графік'!$J$14,-(SUM(M166:V166)),"")</f>
        <v>0</v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>
        <f>IF(B165&lt;'Умови та класичний графік'!$J$14,XIRR($G$35:G166,$C$35:C166,0),"")</f>
        <v>0.38572097167968766</v>
      </c>
      <c r="X166" s="42"/>
      <c r="Y166" s="35"/>
    </row>
    <row r="167" spans="2:25" x14ac:dyDescent="0.2">
      <c r="B167" s="25">
        <v>132</v>
      </c>
      <c r="C167" s="36">
        <f>IF(B166&lt;'Умови та класичний графік'!$J$14,EDATE(C166,1),"")</f>
        <v>48214</v>
      </c>
      <c r="D167" s="36">
        <f>IF(B166&lt;'Умови та класичний графік'!$J$14,C166,"")</f>
        <v>48183</v>
      </c>
      <c r="E167" s="26">
        <f>IF(B166&lt;'Умови та класичний графік'!$J$14,C167-1,"")</f>
        <v>48213</v>
      </c>
      <c r="F167" s="37">
        <f>IF(B166&lt;'Умови та класичний графік'!$J$14,E167-D167+1,"")</f>
        <v>31</v>
      </c>
      <c r="G167" s="144">
        <f>IF(B166&lt;'Умови та класичний графік'!$J$14,-(SUM(J167:L167)),"")</f>
        <v>641966.48653131258</v>
      </c>
      <c r="H167" s="144"/>
      <c r="I167" s="32">
        <f>IF(B166&lt;'Умови та класичний графік'!$J$14,I166+J167,"")</f>
        <v>8756493.4866530653</v>
      </c>
      <c r="J167" s="32">
        <f>IF(B166&lt;'Умови та класичний графік'!$J$14,PPMT($J$21/12,B167,$J$12,$J$11,0,0),"")</f>
        <v>-25043.19332182415</v>
      </c>
      <c r="K167" s="32">
        <f>IF(B166&lt;'Умови та класичний графік'!$J$14,IPMT($J$21/12,B167,$J$12,$J$11,0,0),"")</f>
        <v>-164653.81274952917</v>
      </c>
      <c r="L167" s="30">
        <f>IF(B166&lt;'Умови та класичний графік'!$J$14,-(SUM(M167:V167)),"")</f>
        <v>-452269.48045995919</v>
      </c>
      <c r="M167" s="38"/>
      <c r="N167" s="39"/>
      <c r="O167" s="39"/>
      <c r="P167" s="32"/>
      <c r="Q167" s="40"/>
      <c r="R167" s="40"/>
      <c r="S167" s="41"/>
      <c r="T167" s="41"/>
      <c r="U167" s="33">
        <f>IF(B166&lt;'Умови та класичний графік'!$J$14,('Умови та класичний графік'!$J$15*$N$19)+(I167*$N$20),"")</f>
        <v>452269.48045995919</v>
      </c>
      <c r="V167" s="41"/>
      <c r="W167" s="43">
        <f>IF(B166&lt;'Умови та класичний графік'!$J$14,XIRR($G$35:G167,$C$35:C167,0),"")</f>
        <v>0.38681657714843765</v>
      </c>
      <c r="X167" s="42"/>
      <c r="Y167" s="35"/>
    </row>
    <row r="168" spans="2:25" x14ac:dyDescent="0.2">
      <c r="B168" s="25">
        <v>133</v>
      </c>
      <c r="C168" s="36">
        <f>IF(B167&lt;'Умови та класичний графік'!$J$14,EDATE(C167,1),"")</f>
        <v>48245</v>
      </c>
      <c r="D168" s="36">
        <f>IF(B167&lt;'Умови та класичний графік'!$J$14,C167,"")</f>
        <v>48214</v>
      </c>
      <c r="E168" s="26">
        <f>IF(B167&lt;'Умови та класичний графік'!$J$14,C168-1,"")</f>
        <v>48244</v>
      </c>
      <c r="F168" s="37">
        <f>IF(B167&lt;'Умови та класичний графік'!$J$14,E168-D168+1,"")</f>
        <v>31</v>
      </c>
      <c r="G168" s="144">
        <f>IF(B167&lt;'Умови та класичний графік'!$J$14,-(SUM(J168:L168)),"")</f>
        <v>189697.00607135333</v>
      </c>
      <c r="H168" s="144"/>
      <c r="I168" s="32">
        <f>IF(B167&lt;'Умови та класичний графік'!$J$14,I167+J168,"")</f>
        <v>8730980.733456457</v>
      </c>
      <c r="J168" s="32">
        <f>IF(B167&lt;'Умови та класичний графік'!$J$14,PPMT($J$21/12,B168,$J$12,$J$11,0,0),"")</f>
        <v>-25512.753196608362</v>
      </c>
      <c r="K168" s="32">
        <f>IF(B167&lt;'Умови та класичний графік'!$J$14,IPMT($J$21/12,B168,$J$12,$J$11,0,0),"")</f>
        <v>-164184.25287474497</v>
      </c>
      <c r="L168" s="30">
        <f>IF(B167&lt;'Умови та класичний графік'!$J$14,-(SUM(M168:V168)),"")</f>
        <v>0</v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>
        <f>IF(B167&lt;'Умови та класичний графік'!$J$14,XIRR($G$35:G168,$C$35:C168,0),"")</f>
        <v>0.38712889160156261</v>
      </c>
      <c r="X168" s="42"/>
      <c r="Y168" s="35"/>
    </row>
    <row r="169" spans="2:25" x14ac:dyDescent="0.2">
      <c r="B169" s="25">
        <v>134</v>
      </c>
      <c r="C169" s="36">
        <f>IF(B168&lt;'Умови та класичний графік'!$J$14,EDATE(C168,1),"")</f>
        <v>48274</v>
      </c>
      <c r="D169" s="36">
        <f>IF(B168&lt;'Умови та класичний графік'!$J$14,C168,"")</f>
        <v>48245</v>
      </c>
      <c r="E169" s="26">
        <f>IF(B168&lt;'Умови та класичний графік'!$J$14,C169-1,"")</f>
        <v>48273</v>
      </c>
      <c r="F169" s="37">
        <f>IF(B168&lt;'Умови та класичний графік'!$J$14,E169-D169+1,"")</f>
        <v>29</v>
      </c>
      <c r="G169" s="144">
        <f>IF(B168&lt;'Умови та класичний графік'!$J$14,-(SUM(J169:L169)),"")</f>
        <v>189697.00607135333</v>
      </c>
      <c r="H169" s="144"/>
      <c r="I169" s="32">
        <f>IF(B168&lt;'Умови та класичний графік'!$J$14,I168+J169,"")</f>
        <v>8704989.6161374114</v>
      </c>
      <c r="J169" s="32">
        <f>IF(B168&lt;'Умови та класичний графік'!$J$14,PPMT($J$21/12,B169,$J$12,$J$11,0,0),"")</f>
        <v>-25991.117319044759</v>
      </c>
      <c r="K169" s="32">
        <f>IF(B168&lt;'Умови та класичний графік'!$J$14,IPMT($J$21/12,B169,$J$12,$J$11,0,0),"")</f>
        <v>-163705.88875230856</v>
      </c>
      <c r="L169" s="30">
        <f>IF(B168&lt;'Умови та класичний графік'!$J$14,-(SUM(M169:V169)),"")</f>
        <v>0</v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>
        <f>IF(B168&lt;'Умови та класичний графік'!$J$14,XIRR($G$35:G169,$C$35:C169,0),"")</f>
        <v>0.38743207519531253</v>
      </c>
      <c r="X169" s="42"/>
      <c r="Y169" s="35"/>
    </row>
    <row r="170" spans="2:25" x14ac:dyDescent="0.2">
      <c r="B170" s="25">
        <v>135</v>
      </c>
      <c r="C170" s="36">
        <f>IF(B169&lt;'Умови та класичний графік'!$J$14,EDATE(C169,1),"")</f>
        <v>48305</v>
      </c>
      <c r="D170" s="36">
        <f>IF(B169&lt;'Умови та класичний графік'!$J$14,C169,"")</f>
        <v>48274</v>
      </c>
      <c r="E170" s="26">
        <f>IF(B169&lt;'Умови та класичний графік'!$J$14,C170-1,"")</f>
        <v>48304</v>
      </c>
      <c r="F170" s="37">
        <f>IF(B169&lt;'Умови та класичний графік'!$J$14,E170-D170+1,"")</f>
        <v>31</v>
      </c>
      <c r="G170" s="144">
        <f>IF(B169&lt;'Умови та класичний графік'!$J$14,-(SUM(J170:L170)),"")</f>
        <v>189697.0060713533</v>
      </c>
      <c r="H170" s="144"/>
      <c r="I170" s="32">
        <f>IF(B169&lt;'Умови та класичний графік'!$J$14,I169+J170,"")</f>
        <v>8678511.1653686352</v>
      </c>
      <c r="J170" s="32">
        <f>IF(B169&lt;'Умови та класичний графік'!$J$14,PPMT($J$21/12,B170,$J$12,$J$11,0,0),"")</f>
        <v>-26478.450768776856</v>
      </c>
      <c r="K170" s="32">
        <f>IF(B169&lt;'Умови та класичний графік'!$J$14,IPMT($J$21/12,B170,$J$12,$J$11,0,0),"")</f>
        <v>-163218.55530257645</v>
      </c>
      <c r="L170" s="30">
        <f>IF(B169&lt;'Умови та класичний графік'!$J$14,-(SUM(M170:V170)),"")</f>
        <v>0</v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>
        <f>IF(B169&lt;'Умови та класичний графік'!$J$14,XIRR($G$35:G170,$C$35:C170,0),"")</f>
        <v>0.38772591308593751</v>
      </c>
      <c r="X170" s="42"/>
      <c r="Y170" s="35"/>
    </row>
    <row r="171" spans="2:25" x14ac:dyDescent="0.2">
      <c r="B171" s="25">
        <v>136</v>
      </c>
      <c r="C171" s="36">
        <f>IF(B170&lt;'Умови та класичний графік'!$J$14,EDATE(C170,1),"")</f>
        <v>48335</v>
      </c>
      <c r="D171" s="36">
        <f>IF(B170&lt;'Умови та класичний графік'!$J$14,C170,"")</f>
        <v>48305</v>
      </c>
      <c r="E171" s="26">
        <f>IF(B170&lt;'Умови та класичний графік'!$J$14,C171-1,"")</f>
        <v>48334</v>
      </c>
      <c r="F171" s="37">
        <f>IF(B170&lt;'Умови та класичний графік'!$J$14,E171-D171+1,"")</f>
        <v>30</v>
      </c>
      <c r="G171" s="144">
        <f>IF(B170&lt;'Умови та класичний графік'!$J$14,-(SUM(J171:L171)),"")</f>
        <v>189697.00607135333</v>
      </c>
      <c r="H171" s="144"/>
      <c r="I171" s="32">
        <f>IF(B170&lt;'Умови та класичний графік'!$J$14,I170+J171,"")</f>
        <v>8651536.2436479442</v>
      </c>
      <c r="J171" s="32">
        <f>IF(B170&lt;'Умови та класичний графік'!$J$14,PPMT($J$21/12,B171,$J$12,$J$11,0,0),"")</f>
        <v>-26974.921720691418</v>
      </c>
      <c r="K171" s="32">
        <f>IF(B170&lt;'Умови та класичний графік'!$J$14,IPMT($J$21/12,B171,$J$12,$J$11,0,0),"")</f>
        <v>-162722.0843506619</v>
      </c>
      <c r="L171" s="30">
        <f>IF(B170&lt;'Умови та класичний графік'!$J$14,-(SUM(M171:V171)),"")</f>
        <v>0</v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>
        <f>IF(B170&lt;'Умови та класичний графік'!$J$14,XIRR($G$35:G171,$C$35:C171,0),"")</f>
        <v>0.38801094238281253</v>
      </c>
      <c r="X171" s="42"/>
      <c r="Y171" s="35"/>
    </row>
    <row r="172" spans="2:25" x14ac:dyDescent="0.2">
      <c r="B172" s="25">
        <v>137</v>
      </c>
      <c r="C172" s="36">
        <f>IF(B171&lt;'Умови та класичний графік'!$J$14,EDATE(C171,1),"")</f>
        <v>48366</v>
      </c>
      <c r="D172" s="36">
        <f>IF(B171&lt;'Умови та класичний графік'!$J$14,C171,"")</f>
        <v>48335</v>
      </c>
      <c r="E172" s="26">
        <f>IF(B171&lt;'Умови та класичний графік'!$J$14,C172-1,"")</f>
        <v>48365</v>
      </c>
      <c r="F172" s="37">
        <f>IF(B171&lt;'Умови та класичний графік'!$J$14,E172-D172+1,"")</f>
        <v>31</v>
      </c>
      <c r="G172" s="144">
        <f>IF(B171&lt;'Умови та класичний графік'!$J$14,-(SUM(J172:L172)),"")</f>
        <v>189697.00607135333</v>
      </c>
      <c r="H172" s="144"/>
      <c r="I172" s="32">
        <f>IF(B171&lt;'Умови та класичний графік'!$J$14,I171+J172,"")</f>
        <v>8624055.5421449896</v>
      </c>
      <c r="J172" s="32">
        <f>IF(B171&lt;'Умови та класичний графік'!$J$14,PPMT($J$21/12,B172,$J$12,$J$11,0,0),"")</f>
        <v>-27480.70150295438</v>
      </c>
      <c r="K172" s="32">
        <f>IF(B171&lt;'Умови та класичний графік'!$J$14,IPMT($J$21/12,B172,$J$12,$J$11,0,0),"")</f>
        <v>-162216.30456839895</v>
      </c>
      <c r="L172" s="30">
        <f>IF(B171&lt;'Умови та класичний графік'!$J$14,-(SUM(M172:V172)),"")</f>
        <v>0</v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>
        <f>IF(B171&lt;'Умови та класичний графік'!$J$14,XIRR($G$35:G172,$C$35:C172,0),"")</f>
        <v>0.38828721191406268</v>
      </c>
      <c r="X172" s="42"/>
      <c r="Y172" s="35"/>
    </row>
    <row r="173" spans="2:25" x14ac:dyDescent="0.2">
      <c r="B173" s="25">
        <v>138</v>
      </c>
      <c r="C173" s="36">
        <f>IF(B172&lt;'Умови та класичний графік'!$J$14,EDATE(C172,1),"")</f>
        <v>48396</v>
      </c>
      <c r="D173" s="36">
        <f>IF(B172&lt;'Умови та класичний графік'!$J$14,C172,"")</f>
        <v>48366</v>
      </c>
      <c r="E173" s="26">
        <f>IF(B172&lt;'Умови та класичний графік'!$J$14,C173-1,"")</f>
        <v>48395</v>
      </c>
      <c r="F173" s="37">
        <f>IF(B172&lt;'Умови та класичний графік'!$J$14,E173-D173+1,"")</f>
        <v>30</v>
      </c>
      <c r="G173" s="144">
        <f>IF(B172&lt;'Умови та класичний графік'!$J$14,-(SUM(J173:L173)),"")</f>
        <v>189697.00607135333</v>
      </c>
      <c r="H173" s="144"/>
      <c r="I173" s="32">
        <f>IF(B172&lt;'Умови та класичний графік'!$J$14,I172+J173,"")</f>
        <v>8596059.5774888545</v>
      </c>
      <c r="J173" s="32">
        <f>IF(B172&lt;'Умови та класичний графік'!$J$14,PPMT($J$21/12,B173,$J$12,$J$11,0,0),"")</f>
        <v>-27995.964656134773</v>
      </c>
      <c r="K173" s="32">
        <f>IF(B172&lt;'Умови та класичний графік'!$J$14,IPMT($J$21/12,B173,$J$12,$J$11,0,0),"")</f>
        <v>-161701.04141521855</v>
      </c>
      <c r="L173" s="30">
        <f>IF(B172&lt;'Умови та класичний графік'!$J$14,-(SUM(M173:V173)),"")</f>
        <v>0</v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>
        <f>IF(B172&lt;'Умови та класичний графік'!$J$14,XIRR($G$35:G173,$C$35:C173,0),"")</f>
        <v>0.38855523925781243</v>
      </c>
      <c r="X173" s="42"/>
      <c r="Y173" s="35"/>
    </row>
    <row r="174" spans="2:25" x14ac:dyDescent="0.2">
      <c r="B174" s="25">
        <v>139</v>
      </c>
      <c r="C174" s="36">
        <f>IF(B173&lt;'Умови та класичний графік'!$J$14,EDATE(C173,1),"")</f>
        <v>48427</v>
      </c>
      <c r="D174" s="36">
        <f>IF(B173&lt;'Умови та класичний графік'!$J$14,C173,"")</f>
        <v>48396</v>
      </c>
      <c r="E174" s="26">
        <f>IF(B173&lt;'Умови та класичний графік'!$J$14,C174-1,"")</f>
        <v>48426</v>
      </c>
      <c r="F174" s="37">
        <f>IF(B173&lt;'Умови та класичний графік'!$J$14,E174-D174+1,"")</f>
        <v>31</v>
      </c>
      <c r="G174" s="144">
        <f>IF(B173&lt;'Умови та класичний графік'!$J$14,-(SUM(J174:L174)),"")</f>
        <v>189697.00607135333</v>
      </c>
      <c r="H174" s="144"/>
      <c r="I174" s="32">
        <f>IF(B173&lt;'Умови та класичний графік'!$J$14,I173+J174,"")</f>
        <v>8567538.6884954181</v>
      </c>
      <c r="J174" s="32">
        <f>IF(B173&lt;'Умови та класичний графік'!$J$14,PPMT($J$21/12,B174,$J$12,$J$11,0,0),"")</f>
        <v>-28520.888993437304</v>
      </c>
      <c r="K174" s="32">
        <f>IF(B173&lt;'Умови та класичний графік'!$J$14,IPMT($J$21/12,B174,$J$12,$J$11,0,0),"")</f>
        <v>-161176.11707791602</v>
      </c>
      <c r="L174" s="30">
        <f>IF(B173&lt;'Умови та класичний графік'!$J$14,-(SUM(M174:V174)),"")</f>
        <v>0</v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>
        <f>IF(B173&lt;'Умови та класичний графік'!$J$14,XIRR($G$35:G174,$C$35:C174,0),"")</f>
        <v>0.38881504394531252</v>
      </c>
      <c r="X174" s="42"/>
      <c r="Y174" s="35"/>
    </row>
    <row r="175" spans="2:25" x14ac:dyDescent="0.2">
      <c r="B175" s="25">
        <v>140</v>
      </c>
      <c r="C175" s="36">
        <f>IF(B174&lt;'Умови та класичний графік'!$J$14,EDATE(C174,1),"")</f>
        <v>48458</v>
      </c>
      <c r="D175" s="36">
        <f>IF(B174&lt;'Умови та класичний графік'!$J$14,C174,"")</f>
        <v>48427</v>
      </c>
      <c r="E175" s="26">
        <f>IF(B174&lt;'Умови та класичний графік'!$J$14,C175-1,"")</f>
        <v>48457</v>
      </c>
      <c r="F175" s="37">
        <f>IF(B174&lt;'Умови та класичний графік'!$J$14,E175-D175+1,"")</f>
        <v>31</v>
      </c>
      <c r="G175" s="144">
        <f>IF(B174&lt;'Умови та класичний графік'!$J$14,-(SUM(J175:L175)),"")</f>
        <v>189697.00607135336</v>
      </c>
      <c r="H175" s="144"/>
      <c r="I175" s="32">
        <f>IF(B174&lt;'Умови та класичний графік'!$J$14,I174+J175,"")</f>
        <v>8538483.0328333545</v>
      </c>
      <c r="J175" s="32">
        <f>IF(B174&lt;'Умови та класичний графік'!$J$14,PPMT($J$21/12,B175,$J$12,$J$11,0,0),"")</f>
        <v>-29055.655662064255</v>
      </c>
      <c r="K175" s="32">
        <f>IF(B174&lt;'Умови та класичний графік'!$J$14,IPMT($J$21/12,B175,$J$12,$J$11,0,0),"")</f>
        <v>-160641.35040928909</v>
      </c>
      <c r="L175" s="30">
        <f>IF(B174&lt;'Умови та класичний графік'!$J$14,-(SUM(M175:V175)),"")</f>
        <v>0</v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>
        <f>IF(B174&lt;'Умови та класичний графік'!$J$14,XIRR($G$35:G175,$C$35:C175,0),"")</f>
        <v>0.38906690917968767</v>
      </c>
      <c r="X175" s="42"/>
      <c r="Y175" s="35"/>
    </row>
    <row r="176" spans="2:25" x14ac:dyDescent="0.2">
      <c r="B176" s="25">
        <v>141</v>
      </c>
      <c r="C176" s="36">
        <f>IF(B175&lt;'Умови та класичний графік'!$J$14,EDATE(C175,1),"")</f>
        <v>48488</v>
      </c>
      <c r="D176" s="36">
        <f>IF(B175&lt;'Умови та класичний графік'!$J$14,C175,"")</f>
        <v>48458</v>
      </c>
      <c r="E176" s="26">
        <f>IF(B175&lt;'Умови та класичний графік'!$J$14,C176-1,"")</f>
        <v>48487</v>
      </c>
      <c r="F176" s="37">
        <f>IF(B175&lt;'Умови та класичний графік'!$J$14,E176-D176+1,"")</f>
        <v>30</v>
      </c>
      <c r="G176" s="144">
        <f>IF(B175&lt;'Умови та класичний графік'!$J$14,-(SUM(J176:L176)),"")</f>
        <v>189697.00607135336</v>
      </c>
      <c r="H176" s="144"/>
      <c r="I176" s="32">
        <f>IF(B175&lt;'Умови та класичний графік'!$J$14,I175+J176,"")</f>
        <v>8508882.5836276263</v>
      </c>
      <c r="J176" s="32">
        <f>IF(B175&lt;'Умови та класичний графік'!$J$14,PPMT($J$21/12,B176,$J$12,$J$11,0,0),"")</f>
        <v>-29600.449205727957</v>
      </c>
      <c r="K176" s="32">
        <f>IF(B175&lt;'Умови та класичний графік'!$J$14,IPMT($J$21/12,B176,$J$12,$J$11,0,0),"")</f>
        <v>-160096.5568656254</v>
      </c>
      <c r="L176" s="30">
        <f>IF(B175&lt;'Умови та класичний графік'!$J$14,-(SUM(M176:V176)),"")</f>
        <v>0</v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>
        <f>IF(B175&lt;'Умови та класичний графік'!$J$14,XIRR($G$35:G176,$C$35:C176,0),"")</f>
        <v>0.38931129394531261</v>
      </c>
      <c r="X176" s="42"/>
      <c r="Y176" s="35"/>
    </row>
    <row r="177" spans="2:25" x14ac:dyDescent="0.2">
      <c r="B177" s="25">
        <v>142</v>
      </c>
      <c r="C177" s="36">
        <f>IF(B176&lt;'Умови та класичний графік'!$J$14,EDATE(C176,1),"")</f>
        <v>48519</v>
      </c>
      <c r="D177" s="36">
        <f>IF(B176&lt;'Умови та класичний графік'!$J$14,C176,"")</f>
        <v>48488</v>
      </c>
      <c r="E177" s="26">
        <f>IF(B176&lt;'Умови та класичний графік'!$J$14,C177-1,"")</f>
        <v>48518</v>
      </c>
      <c r="F177" s="37">
        <f>IF(B176&lt;'Умови та класичний графік'!$J$14,E177-D177+1,"")</f>
        <v>31</v>
      </c>
      <c r="G177" s="144">
        <f>IF(B176&lt;'Умови та класичний графік'!$J$14,-(SUM(J177:L177)),"")</f>
        <v>189697.00607135336</v>
      </c>
      <c r="H177" s="144"/>
      <c r="I177" s="32">
        <f>IF(B176&lt;'Умови та класичний графік'!$J$14,I176+J177,"")</f>
        <v>8478727.1259992905</v>
      </c>
      <c r="J177" s="32">
        <f>IF(B176&lt;'Умови та класичний графік'!$J$14,PPMT($J$21/12,B177,$J$12,$J$11,0,0),"")</f>
        <v>-30155.457628335356</v>
      </c>
      <c r="K177" s="32">
        <f>IF(B176&lt;'Умови та класичний графік'!$J$14,IPMT($J$21/12,B177,$J$12,$J$11,0,0),"")</f>
        <v>-159541.54844301799</v>
      </c>
      <c r="L177" s="30">
        <f>IF(B176&lt;'Умови та класичний графік'!$J$14,-(SUM(M177:V177)),"")</f>
        <v>0</v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>
        <f>IF(B176&lt;'Умови та класичний графік'!$J$14,XIRR($G$35:G177,$C$35:C177,0),"")</f>
        <v>0.38954822753906271</v>
      </c>
      <c r="X177" s="42"/>
      <c r="Y177" s="35"/>
    </row>
    <row r="178" spans="2:25" x14ac:dyDescent="0.2">
      <c r="B178" s="25">
        <v>143</v>
      </c>
      <c r="C178" s="36">
        <f>IF(B177&lt;'Умови та класичний графік'!$J$14,EDATE(C177,1),"")</f>
        <v>48549</v>
      </c>
      <c r="D178" s="36">
        <f>IF(B177&lt;'Умови та класичний графік'!$J$14,C177,"")</f>
        <v>48519</v>
      </c>
      <c r="E178" s="26">
        <f>IF(B177&lt;'Умови та класичний графік'!$J$14,C178-1,"")</f>
        <v>48548</v>
      </c>
      <c r="F178" s="37">
        <f>IF(B177&lt;'Умови та класичний графік'!$J$14,E178-D178+1,"")</f>
        <v>30</v>
      </c>
      <c r="G178" s="144">
        <f>IF(B177&lt;'Умови та класичний графік'!$J$14,-(SUM(J178:L178)),"")</f>
        <v>189697.00607135333</v>
      </c>
      <c r="H178" s="144"/>
      <c r="I178" s="32">
        <f>IF(B177&lt;'Умови та класичний графік'!$J$14,I177+J178,"")</f>
        <v>8448006.2535404246</v>
      </c>
      <c r="J178" s="32">
        <f>IF(B177&lt;'Умови та класичний графік'!$J$14,PPMT($J$21/12,B178,$J$12,$J$11,0,0),"")</f>
        <v>-30720.872458866645</v>
      </c>
      <c r="K178" s="32">
        <f>IF(B177&lt;'Умови та класичний графік'!$J$14,IPMT($J$21/12,B178,$J$12,$J$11,0,0),"")</f>
        <v>-158976.13361248668</v>
      </c>
      <c r="L178" s="30">
        <f>IF(B177&lt;'Умови та класичний графік'!$J$14,-(SUM(M178:V178)),"")</f>
        <v>0</v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>
        <f>IF(B177&lt;'Умови та класичний графік'!$J$14,XIRR($G$35:G178,$C$35:C178,0),"")</f>
        <v>0.38977815917968761</v>
      </c>
      <c r="X178" s="42"/>
      <c r="Y178" s="35"/>
    </row>
    <row r="179" spans="2:25" x14ac:dyDescent="0.2">
      <c r="B179" s="25">
        <v>144</v>
      </c>
      <c r="C179" s="36">
        <f>IF(B178&lt;'Умови та класичний графік'!$J$14,EDATE(C178,1),"")</f>
        <v>48580</v>
      </c>
      <c r="D179" s="36">
        <f>IF(B178&lt;'Умови та класичний графік'!$J$14,C178,"")</f>
        <v>48549</v>
      </c>
      <c r="E179" s="26">
        <f>IF(B178&lt;'Умови та класичний графік'!$J$14,C179-1,"")</f>
        <v>48579</v>
      </c>
      <c r="F179" s="37">
        <f>IF(B178&lt;'Умови та класичний графік'!$J$14,E179-D179+1,"")</f>
        <v>31</v>
      </c>
      <c r="G179" s="144">
        <f>IF(B178&lt;'Умови та класичний графік'!$J$14,-(SUM(J179:L179)),"")</f>
        <v>640947.13416552218</v>
      </c>
      <c r="H179" s="144"/>
      <c r="I179" s="32">
        <f>IF(B178&lt;'Умови та класичний графік'!$J$14,I178+J179,"")</f>
        <v>8416709.3647229541</v>
      </c>
      <c r="J179" s="32">
        <f>IF(B178&lt;'Умови та класичний графік'!$J$14,PPMT($J$21/12,B179,$J$12,$J$11,0,0),"")</f>
        <v>-31296.888817470397</v>
      </c>
      <c r="K179" s="32">
        <f>IF(B178&lt;'Умови та класичний графік'!$J$14,IPMT($J$21/12,B179,$J$12,$J$11,0,0),"")</f>
        <v>-158400.11725388293</v>
      </c>
      <c r="L179" s="30">
        <f>IF(B178&lt;'Умови та класичний графік'!$J$14,-(SUM(M179:V179)),"")</f>
        <v>-451250.12809416885</v>
      </c>
      <c r="M179" s="38"/>
      <c r="N179" s="39"/>
      <c r="O179" s="39"/>
      <c r="P179" s="32"/>
      <c r="Q179" s="40"/>
      <c r="R179" s="40"/>
      <c r="S179" s="41"/>
      <c r="T179" s="41"/>
      <c r="U179" s="33">
        <f>IF(B178&lt;'Умови та класичний графік'!$J$14,('Умови та класичний графік'!$J$15*$N$19)+(I179*$N$20),"")</f>
        <v>451250.12809416885</v>
      </c>
      <c r="V179" s="41"/>
      <c r="W179" s="43">
        <f>IF(B178&lt;'Умови та класичний графік'!$J$14,XIRR($G$35:G179,$C$35:C179,0),"")</f>
        <v>0.39052886230468764</v>
      </c>
      <c r="X179" s="42"/>
      <c r="Y179" s="35"/>
    </row>
    <row r="180" spans="2:25" x14ac:dyDescent="0.2">
      <c r="B180" s="25">
        <v>145</v>
      </c>
      <c r="C180" s="36">
        <f>IF(B179&lt;'Умови та класичний графік'!$J$14,EDATE(C179,1),"")</f>
        <v>48611</v>
      </c>
      <c r="D180" s="36">
        <f>IF(B179&lt;'Умови та класичний графік'!$J$14,C179,"")</f>
        <v>48580</v>
      </c>
      <c r="E180" s="26">
        <f>IF(B179&lt;'Умови та класичний графік'!$J$14,C180-1,"")</f>
        <v>48610</v>
      </c>
      <c r="F180" s="37">
        <f>IF(B179&lt;'Умови та класичний графік'!$J$14,E180-D180+1,"")</f>
        <v>31</v>
      </c>
      <c r="G180" s="144">
        <f>IF(B179&lt;'Умови та класичний графік'!$J$14,-(SUM(J180:L180)),"")</f>
        <v>189697.00607135333</v>
      </c>
      <c r="H180" s="144"/>
      <c r="I180" s="32">
        <f>IF(B179&lt;'Умови та класичний графік'!$J$14,I179+J180,"")</f>
        <v>8384825.6592401564</v>
      </c>
      <c r="J180" s="32">
        <f>IF(B179&lt;'Умови та класичний графік'!$J$14,PPMT($J$21/12,B180,$J$12,$J$11,0,0),"")</f>
        <v>-31883.705482797959</v>
      </c>
      <c r="K180" s="32">
        <f>IF(B179&lt;'Умови та класичний графік'!$J$14,IPMT($J$21/12,B180,$J$12,$J$11,0,0),"")</f>
        <v>-157813.30058855537</v>
      </c>
      <c r="L180" s="30">
        <f>IF(B179&lt;'Умови та класичний графік'!$J$14,-(SUM(M180:V180)),"")</f>
        <v>0</v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>
        <f>IF(B179&lt;'Умови та класичний графік'!$J$14,XIRR($G$35:G180,$C$35:C180,0),"")</f>
        <v>0.39074355957031259</v>
      </c>
      <c r="X180" s="42"/>
      <c r="Y180" s="35"/>
    </row>
    <row r="181" spans="2:25" x14ac:dyDescent="0.2">
      <c r="B181" s="25">
        <v>146</v>
      </c>
      <c r="C181" s="36">
        <f>IF(B180&lt;'Умови та класичний графік'!$J$14,EDATE(C180,1),"")</f>
        <v>48639</v>
      </c>
      <c r="D181" s="36">
        <f>IF(B180&lt;'Умови та класичний графік'!$J$14,C180,"")</f>
        <v>48611</v>
      </c>
      <c r="E181" s="26">
        <f>IF(B180&lt;'Умови та класичний графік'!$J$14,C181-1,"")</f>
        <v>48638</v>
      </c>
      <c r="F181" s="37">
        <f>IF(B180&lt;'Умови та класичний графік'!$J$14,E181-D181+1,"")</f>
        <v>28</v>
      </c>
      <c r="G181" s="144">
        <f>IF(B180&lt;'Умови та класичний графік'!$J$14,-(SUM(J181:L181)),"")</f>
        <v>189697.00607135333</v>
      </c>
      <c r="H181" s="144"/>
      <c r="I181" s="32">
        <f>IF(B180&lt;'Умови та класичний графік'!$J$14,I180+J181,"")</f>
        <v>8352344.1342795556</v>
      </c>
      <c r="J181" s="32">
        <f>IF(B180&lt;'Умови та класичний графік'!$J$14,PPMT($J$21/12,B181,$J$12,$J$11,0,0),"")</f>
        <v>-32481.524960600425</v>
      </c>
      <c r="K181" s="32">
        <f>IF(B180&lt;'Умови та класичний графік'!$J$14,IPMT($J$21/12,B181,$J$12,$J$11,0,0),"")</f>
        <v>-157215.48111075291</v>
      </c>
      <c r="L181" s="30">
        <f>IF(B180&lt;'Умови та класичний графік'!$J$14,-(SUM(M181:V181)),"")</f>
        <v>0</v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>
        <f>IF(B180&lt;'Умови та класичний графік'!$J$14,XIRR($G$35:G181,$C$35:C181,0),"")</f>
        <v>0.39095231933593755</v>
      </c>
      <c r="X181" s="42"/>
      <c r="Y181" s="35"/>
    </row>
    <row r="182" spans="2:25" x14ac:dyDescent="0.2">
      <c r="B182" s="25">
        <v>147</v>
      </c>
      <c r="C182" s="36">
        <f>IF(B181&lt;'Умови та класичний графік'!$J$14,EDATE(C181,1),"")</f>
        <v>48670</v>
      </c>
      <c r="D182" s="36">
        <f>IF(B181&lt;'Умови та класичний графік'!$J$14,C181,"")</f>
        <v>48639</v>
      </c>
      <c r="E182" s="26">
        <f>IF(B181&lt;'Умови та класичний графік'!$J$14,C182-1,"")</f>
        <v>48669</v>
      </c>
      <c r="F182" s="37">
        <f>IF(B181&lt;'Умови та класичний графік'!$J$14,E182-D182+1,"")</f>
        <v>31</v>
      </c>
      <c r="G182" s="144">
        <f>IF(B181&lt;'Умови та класичний графік'!$J$14,-(SUM(J182:L182)),"")</f>
        <v>189697.00607135333</v>
      </c>
      <c r="H182" s="144"/>
      <c r="I182" s="32">
        <f>IF(B181&lt;'Умови та класичний графік'!$J$14,I181+J182,"")</f>
        <v>8319253.5807259437</v>
      </c>
      <c r="J182" s="32">
        <f>IF(B181&lt;'Умови та класичний графік'!$J$14,PPMT($J$21/12,B182,$J$12,$J$11,0,0),"")</f>
        <v>-33090.553553611688</v>
      </c>
      <c r="K182" s="32">
        <f>IF(B181&lt;'Умови та класичний графік'!$J$14,IPMT($J$21/12,B182,$J$12,$J$11,0,0),"")</f>
        <v>-156606.45251774165</v>
      </c>
      <c r="L182" s="30">
        <f>IF(B181&lt;'Умови та класичний графік'!$J$14,-(SUM(M182:V182)),"")</f>
        <v>0</v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>
        <f>IF(B181&lt;'Умови та класичний графік'!$J$14,XIRR($G$35:G182,$C$35:C182,0),"")</f>
        <v>0.39115476074218758</v>
      </c>
      <c r="X182" s="42"/>
      <c r="Y182" s="35"/>
    </row>
    <row r="183" spans="2:25" x14ac:dyDescent="0.2">
      <c r="B183" s="25">
        <v>148</v>
      </c>
      <c r="C183" s="36">
        <f>IF(B182&lt;'Умови та класичний графік'!$J$14,EDATE(C182,1),"")</f>
        <v>48700</v>
      </c>
      <c r="D183" s="36">
        <f>IF(B182&lt;'Умови та класичний графік'!$J$14,C182,"")</f>
        <v>48670</v>
      </c>
      <c r="E183" s="26">
        <f>IF(B182&lt;'Умови та класичний графік'!$J$14,C183-1,"")</f>
        <v>48699</v>
      </c>
      <c r="F183" s="37">
        <f>IF(B182&lt;'Умови та класичний графік'!$J$14,E183-D183+1,"")</f>
        <v>30</v>
      </c>
      <c r="G183" s="144">
        <f>IF(B182&lt;'Умови та класичний графік'!$J$14,-(SUM(J183:L183)),"")</f>
        <v>189697.00607135333</v>
      </c>
      <c r="H183" s="144"/>
      <c r="I183" s="32">
        <f>IF(B182&lt;'Умови та класичний графік'!$J$14,I182+J183,"")</f>
        <v>8285542.5792932017</v>
      </c>
      <c r="J183" s="32">
        <f>IF(B182&lt;'Умови та класичний графік'!$J$14,PPMT($J$21/12,B183,$J$12,$J$11,0,0),"")</f>
        <v>-33711.001432741905</v>
      </c>
      <c r="K183" s="32">
        <f>IF(B182&lt;'Умови та класичний графік'!$J$14,IPMT($J$21/12,B183,$J$12,$J$11,0,0),"")</f>
        <v>-155986.00463861143</v>
      </c>
      <c r="L183" s="30">
        <f>IF(B182&lt;'Умови та класичний графік'!$J$14,-(SUM(M183:V183)),"")</f>
        <v>0</v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>
        <f>IF(B182&lt;'Умови та класичний графік'!$J$14,XIRR($G$35:G183,$C$35:C183,0),"")</f>
        <v>0.3913512646484375</v>
      </c>
      <c r="X183" s="42"/>
      <c r="Y183" s="35"/>
    </row>
    <row r="184" spans="2:25" x14ac:dyDescent="0.2">
      <c r="B184" s="25">
        <v>149</v>
      </c>
      <c r="C184" s="36">
        <f>IF(B183&lt;'Умови та класичний графік'!$J$14,EDATE(C183,1),"")</f>
        <v>48731</v>
      </c>
      <c r="D184" s="36">
        <f>IF(B183&lt;'Умови та класичний графік'!$J$14,C183,"")</f>
        <v>48700</v>
      </c>
      <c r="E184" s="26">
        <f>IF(B183&lt;'Умови та класичний графік'!$J$14,C184-1,"")</f>
        <v>48730</v>
      </c>
      <c r="F184" s="37">
        <f>IF(B183&lt;'Умови та класичний графік'!$J$14,E184-D184+1,"")</f>
        <v>31</v>
      </c>
      <c r="G184" s="144">
        <f>IF(B183&lt;'Умови та класичний графік'!$J$14,-(SUM(J184:L184)),"")</f>
        <v>189697.00607135333</v>
      </c>
      <c r="H184" s="144"/>
      <c r="I184" s="32">
        <f>IF(B183&lt;'Умови та класичний графік'!$J$14,I183+J184,"")</f>
        <v>8251199.4965835959</v>
      </c>
      <c r="J184" s="32">
        <f>IF(B183&lt;'Умови та класичний графік'!$J$14,PPMT($J$21/12,B184,$J$12,$J$11,0,0),"")</f>
        <v>-34343.08270960582</v>
      </c>
      <c r="K184" s="32">
        <f>IF(B183&lt;'Умови та класичний графік'!$J$14,IPMT($J$21/12,B184,$J$12,$J$11,0,0),"")</f>
        <v>-155353.92336174753</v>
      </c>
      <c r="L184" s="30">
        <f>IF(B183&lt;'Умови та класичний графік'!$J$14,-(SUM(M184:V184)),"")</f>
        <v>0</v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>
        <f>IF(B183&lt;'Умови та класичний графік'!$J$14,XIRR($G$35:G184,$C$35:C184,0),"")</f>
        <v>0.39154184082031251</v>
      </c>
      <c r="X184" s="42"/>
      <c r="Y184" s="35"/>
    </row>
    <row r="185" spans="2:25" x14ac:dyDescent="0.2">
      <c r="B185" s="25">
        <v>150</v>
      </c>
      <c r="C185" s="36">
        <f>IF(B184&lt;'Умови та класичний графік'!$J$14,EDATE(C184,1),"")</f>
        <v>48761</v>
      </c>
      <c r="D185" s="36">
        <f>IF(B184&lt;'Умови та класичний графік'!$J$14,C184,"")</f>
        <v>48731</v>
      </c>
      <c r="E185" s="26">
        <f>IF(B184&lt;'Умови та класичний графік'!$J$14,C185-1,"")</f>
        <v>48760</v>
      </c>
      <c r="F185" s="37">
        <f>IF(B184&lt;'Умови та класичний графік'!$J$14,E185-D185+1,"")</f>
        <v>30</v>
      </c>
      <c r="G185" s="144">
        <f>IF(B184&lt;'Умови та класичний графік'!$J$14,-(SUM(J185:L185)),"")</f>
        <v>189697.00607135333</v>
      </c>
      <c r="H185" s="144"/>
      <c r="I185" s="32">
        <f>IF(B184&lt;'Умови та класичний графік'!$J$14,I184+J185,"")</f>
        <v>8216212.4810731849</v>
      </c>
      <c r="J185" s="32">
        <f>IF(B184&lt;'Умови та класичний графік'!$J$14,PPMT($J$21/12,B185,$J$12,$J$11,0,0),"")</f>
        <v>-34987.015510410922</v>
      </c>
      <c r="K185" s="32">
        <f>IF(B184&lt;'Умови та класичний графік'!$J$14,IPMT($J$21/12,B185,$J$12,$J$11,0,0),"")</f>
        <v>-154709.99056094242</v>
      </c>
      <c r="L185" s="30">
        <f>IF(B184&lt;'Умови та класичний графік'!$J$14,-(SUM(M185:V185)),"")</f>
        <v>0</v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>
        <f>IF(B184&lt;'Умови та класичний графік'!$J$14,XIRR($G$35:G185,$C$35:C185,0),"")</f>
        <v>0.39172683105468753</v>
      </c>
      <c r="X185" s="42"/>
      <c r="Y185" s="35"/>
    </row>
    <row r="186" spans="2:25" x14ac:dyDescent="0.2">
      <c r="B186" s="25">
        <v>151</v>
      </c>
      <c r="C186" s="36">
        <f>IF(B185&lt;'Умови та класичний графік'!$J$14,EDATE(C185,1),"")</f>
        <v>48792</v>
      </c>
      <c r="D186" s="36">
        <f>IF(B185&lt;'Умови та класичний графік'!$J$14,C185,"")</f>
        <v>48761</v>
      </c>
      <c r="E186" s="26">
        <f>IF(B185&lt;'Умови та класичний графік'!$J$14,C186-1,"")</f>
        <v>48791</v>
      </c>
      <c r="F186" s="37">
        <f>IF(B185&lt;'Умови та класичний графік'!$J$14,E186-D186+1,"")</f>
        <v>31</v>
      </c>
      <c r="G186" s="144">
        <f>IF(B185&lt;'Умови та класичний графік'!$J$14,-(SUM(J186:L186)),"")</f>
        <v>189697.00607135333</v>
      </c>
      <c r="H186" s="144"/>
      <c r="I186" s="32">
        <f>IF(B185&lt;'Умови та класичний графік'!$J$14,I185+J186,"")</f>
        <v>8180569.4590219539</v>
      </c>
      <c r="J186" s="32">
        <f>IF(B185&lt;'Умови та класичний графік'!$J$14,PPMT($J$21/12,B186,$J$12,$J$11,0,0),"")</f>
        <v>-35643.022051231128</v>
      </c>
      <c r="K186" s="32">
        <f>IF(B185&lt;'Умови та класичний графік'!$J$14,IPMT($J$21/12,B186,$J$12,$J$11,0,0),"")</f>
        <v>-154053.98402012221</v>
      </c>
      <c r="L186" s="30">
        <f>IF(B185&lt;'Умови та класичний графік'!$J$14,-(SUM(M186:V186)),"")</f>
        <v>0</v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>
        <f>IF(B185&lt;'Умови та класичний графік'!$J$14,XIRR($G$35:G186,$C$35:C186,0),"")</f>
        <v>0.39190626464843759</v>
      </c>
      <c r="X186" s="42"/>
      <c r="Y186" s="35"/>
    </row>
    <row r="187" spans="2:25" x14ac:dyDescent="0.2">
      <c r="B187" s="25">
        <v>152</v>
      </c>
      <c r="C187" s="36">
        <f>IF(B186&lt;'Умови та класичний графік'!$J$14,EDATE(C186,1),"")</f>
        <v>48823</v>
      </c>
      <c r="D187" s="36">
        <f>IF(B186&lt;'Умови та класичний графік'!$J$14,C186,"")</f>
        <v>48792</v>
      </c>
      <c r="E187" s="26">
        <f>IF(B186&lt;'Умови та класичний графік'!$J$14,C187-1,"")</f>
        <v>48822</v>
      </c>
      <c r="F187" s="37">
        <f>IF(B186&lt;'Умови та класичний графік'!$J$14,E187-D187+1,"")</f>
        <v>31</v>
      </c>
      <c r="G187" s="144">
        <f>IF(B186&lt;'Умови та класичний графік'!$J$14,-(SUM(J187:L187)),"")</f>
        <v>189697.00607135333</v>
      </c>
      <c r="H187" s="144"/>
      <c r="I187" s="32">
        <f>IF(B186&lt;'Умови та класичний графік'!$J$14,I186+J187,"")</f>
        <v>8144258.1303072618</v>
      </c>
      <c r="J187" s="32">
        <f>IF(B186&lt;'Умови та класичний графік'!$J$14,PPMT($J$21/12,B187,$J$12,$J$11,0,0),"")</f>
        <v>-36311.328714691714</v>
      </c>
      <c r="K187" s="32">
        <f>IF(B186&lt;'Умови та класичний графік'!$J$14,IPMT($J$21/12,B187,$J$12,$J$11,0,0),"")</f>
        <v>-153385.67735666162</v>
      </c>
      <c r="L187" s="30">
        <f>IF(B186&lt;'Умови та класичний графік'!$J$14,-(SUM(M187:V187)),"")</f>
        <v>0</v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>
        <f>IF(B186&lt;'Умови та класичний графік'!$J$14,XIRR($G$35:G187,$C$35:C187,0),"")</f>
        <v>0.39208030761718748</v>
      </c>
      <c r="X187" s="42"/>
      <c r="Y187" s="35"/>
    </row>
    <row r="188" spans="2:25" x14ac:dyDescent="0.2">
      <c r="B188" s="25">
        <v>153</v>
      </c>
      <c r="C188" s="36">
        <f>IF(B187&lt;'Умови та класичний графік'!$J$14,EDATE(C187,1),"")</f>
        <v>48853</v>
      </c>
      <c r="D188" s="36">
        <f>IF(B187&lt;'Умови та класичний графік'!$J$14,C187,"")</f>
        <v>48823</v>
      </c>
      <c r="E188" s="26">
        <f>IF(B187&lt;'Умови та класичний графік'!$J$14,C188-1,"")</f>
        <v>48852</v>
      </c>
      <c r="F188" s="37">
        <f>IF(B187&lt;'Умови та класичний графік'!$J$14,E188-D188+1,"")</f>
        <v>30</v>
      </c>
      <c r="G188" s="144">
        <f>IF(B187&lt;'Умови та класичний графік'!$J$14,-(SUM(J188:L188)),"")</f>
        <v>189697.00607135333</v>
      </c>
      <c r="H188" s="144"/>
      <c r="I188" s="32">
        <f>IF(B187&lt;'Умови та класичний графік'!$J$14,I187+J188,"")</f>
        <v>8107265.9641791694</v>
      </c>
      <c r="J188" s="32">
        <f>IF(B187&lt;'Умови та класичний графік'!$J$14,PPMT($J$21/12,B188,$J$12,$J$11,0,0),"")</f>
        <v>-36992.166128092176</v>
      </c>
      <c r="K188" s="32">
        <f>IF(B187&lt;'Умови та класичний графік'!$J$14,IPMT($J$21/12,B188,$J$12,$J$11,0,0),"")</f>
        <v>-152704.83994326115</v>
      </c>
      <c r="L188" s="30">
        <f>IF(B187&lt;'Умови та класичний графік'!$J$14,-(SUM(M188:V188)),"")</f>
        <v>0</v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>
        <f>IF(B187&lt;'Умови та класичний графік'!$J$14,XIRR($G$35:G188,$C$35:C188,0),"")</f>
        <v>0.39224927246093744</v>
      </c>
      <c r="X188" s="42"/>
      <c r="Y188" s="35"/>
    </row>
    <row r="189" spans="2:25" x14ac:dyDescent="0.2">
      <c r="B189" s="25">
        <v>154</v>
      </c>
      <c r="C189" s="36">
        <f>IF(B188&lt;'Умови та класичний графік'!$J$14,EDATE(C188,1),"")</f>
        <v>48884</v>
      </c>
      <c r="D189" s="36">
        <f>IF(B188&lt;'Умови та класичний графік'!$J$14,C188,"")</f>
        <v>48853</v>
      </c>
      <c r="E189" s="26">
        <f>IF(B188&lt;'Умови та класичний графік'!$J$14,C189-1,"")</f>
        <v>48883</v>
      </c>
      <c r="F189" s="37">
        <f>IF(B188&lt;'Умови та класичний графік'!$J$14,E189-D189+1,"")</f>
        <v>31</v>
      </c>
      <c r="G189" s="144">
        <f>IF(B188&lt;'Умови та класичний графік'!$J$14,-(SUM(J189:L189)),"")</f>
        <v>189697.00607135333</v>
      </c>
      <c r="H189" s="144"/>
      <c r="I189" s="32">
        <f>IF(B188&lt;'Умови та класичний графік'!$J$14,I188+J189,"")</f>
        <v>8069580.1949361758</v>
      </c>
      <c r="J189" s="32">
        <f>IF(B188&lt;'Умови та класичний графік'!$J$14,PPMT($J$21/12,B189,$J$12,$J$11,0,0),"")</f>
        <v>-37685.769242993912</v>
      </c>
      <c r="K189" s="32">
        <f>IF(B188&lt;'Умови та класичний графік'!$J$14,IPMT($J$21/12,B189,$J$12,$J$11,0,0),"")</f>
        <v>-152011.23682835943</v>
      </c>
      <c r="L189" s="30">
        <f>IF(B188&lt;'Умови та класичний графік'!$J$14,-(SUM(M189:V189)),"")</f>
        <v>0</v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>
        <f>IF(B188&lt;'Умови та класичний графік'!$J$14,XIRR($G$35:G189,$C$35:C189,0),"")</f>
        <v>0.39241317871093739</v>
      </c>
      <c r="X189" s="42"/>
      <c r="Y189" s="35"/>
    </row>
    <row r="190" spans="2:25" x14ac:dyDescent="0.2">
      <c r="B190" s="25">
        <v>155</v>
      </c>
      <c r="C190" s="36">
        <f>IF(B189&lt;'Умови та класичний графік'!$J$14,EDATE(C189,1),"")</f>
        <v>48914</v>
      </c>
      <c r="D190" s="36">
        <f>IF(B189&lt;'Умови та класичний графік'!$J$14,C189,"")</f>
        <v>48884</v>
      </c>
      <c r="E190" s="26">
        <f>IF(B189&lt;'Умови та класичний графік'!$J$14,C190-1,"")</f>
        <v>48913</v>
      </c>
      <c r="F190" s="37">
        <f>IF(B189&lt;'Умови та класичний графік'!$J$14,E190-D190+1,"")</f>
        <v>30</v>
      </c>
      <c r="G190" s="144">
        <f>IF(B189&lt;'Умови та класичний графік'!$J$14,-(SUM(J190:L190)),"")</f>
        <v>189697.00607135333</v>
      </c>
      <c r="H190" s="144"/>
      <c r="I190" s="32">
        <f>IF(B189&lt;'Умови та класичний графік'!$J$14,I189+J190,"")</f>
        <v>8031187.8175198762</v>
      </c>
      <c r="J190" s="32">
        <f>IF(B189&lt;'Умови та класичний графік'!$J$14,PPMT($J$21/12,B190,$J$12,$J$11,0,0),"")</f>
        <v>-38392.377416300042</v>
      </c>
      <c r="K190" s="32">
        <f>IF(B189&lt;'Умови та класичний графік'!$J$14,IPMT($J$21/12,B190,$J$12,$J$11,0,0),"")</f>
        <v>-151304.6286550533</v>
      </c>
      <c r="L190" s="30">
        <f>IF(B189&lt;'Умови та класичний графік'!$J$14,-(SUM(M190:V190)),"")</f>
        <v>0</v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>
        <f>IF(B189&lt;'Умови та класичний графік'!$J$14,XIRR($G$35:G190,$C$35:C190,0),"")</f>
        <v>0.39257232910156248</v>
      </c>
      <c r="X190" s="42"/>
      <c r="Y190" s="35"/>
    </row>
    <row r="191" spans="2:25" x14ac:dyDescent="0.2">
      <c r="B191" s="25">
        <v>156</v>
      </c>
      <c r="C191" s="36">
        <f>IF(B190&lt;'Умови та класичний графік'!$J$14,EDATE(C190,1),"")</f>
        <v>48945</v>
      </c>
      <c r="D191" s="36">
        <f>IF(B190&lt;'Умови та класичний графік'!$J$14,C190,"")</f>
        <v>48914</v>
      </c>
      <c r="E191" s="26">
        <f>IF(B190&lt;'Умови та класичний графік'!$J$14,C191-1,"")</f>
        <v>48944</v>
      </c>
      <c r="F191" s="37">
        <f>IF(B190&lt;'Умови та класичний графік'!$J$14,E191-D191+1,"")</f>
        <v>31</v>
      </c>
      <c r="G191" s="144">
        <f>IF(B190&lt;'Умови та класичний графік'!$J$14,-(SUM(J191:L191)),"")</f>
        <v>639673.23282043438</v>
      </c>
      <c r="H191" s="144"/>
      <c r="I191" s="32">
        <f>IF(B190&lt;'Умови та класичний графік'!$J$14,I190+J191,"")</f>
        <v>7992075.5830270201</v>
      </c>
      <c r="J191" s="32">
        <f>IF(B190&lt;'Умови та класичний графік'!$J$14,PPMT($J$21/12,B191,$J$12,$J$11,0,0),"")</f>
        <v>-39112.23449285567</v>
      </c>
      <c r="K191" s="32">
        <f>IF(B190&lt;'Умови та класичний графік'!$J$14,IPMT($J$21/12,B191,$J$12,$J$11,0,0),"")</f>
        <v>-150584.77157849766</v>
      </c>
      <c r="L191" s="30">
        <f>IF(B190&lt;'Умови та класичний графік'!$J$14,-(SUM(M191:V191)),"")</f>
        <v>-449976.22674908105</v>
      </c>
      <c r="M191" s="38"/>
      <c r="N191" s="39"/>
      <c r="O191" s="39"/>
      <c r="P191" s="32"/>
      <c r="Q191" s="40"/>
      <c r="R191" s="40"/>
      <c r="S191" s="41"/>
      <c r="T191" s="41"/>
      <c r="U191" s="33">
        <f>IF(B190&lt;'Умови та класичний графік'!$J$14,('Умови та класичний графік'!$J$15*$N$19)+(I191*$N$20),"")</f>
        <v>449976.22674908105</v>
      </c>
      <c r="V191" s="41"/>
      <c r="W191" s="43">
        <f>IF(B190&lt;'Умови та класичний графік'!$J$14,XIRR($G$35:G191,$C$35:C191,0),"")</f>
        <v>0.39309158691406265</v>
      </c>
      <c r="X191" s="42"/>
      <c r="Y191" s="35"/>
    </row>
    <row r="192" spans="2:25" x14ac:dyDescent="0.2">
      <c r="B192" s="25">
        <v>157</v>
      </c>
      <c r="C192" s="36">
        <f>IF(B191&lt;'Умови та класичний графік'!$J$14,EDATE(C191,1),"")</f>
        <v>48976</v>
      </c>
      <c r="D192" s="36">
        <f>IF(B191&lt;'Умови та класичний графік'!$J$14,C191,"")</f>
        <v>48945</v>
      </c>
      <c r="E192" s="26">
        <f>IF(B191&lt;'Умови та класичний графік'!$J$14,C192-1,"")</f>
        <v>48975</v>
      </c>
      <c r="F192" s="37">
        <f>IF(B191&lt;'Умови та класичний графік'!$J$14,E192-D192+1,"")</f>
        <v>31</v>
      </c>
      <c r="G192" s="144">
        <f>IF(B191&lt;'Умови та класичний графік'!$J$14,-(SUM(J192:L192)),"")</f>
        <v>189697.00607135336</v>
      </c>
      <c r="H192" s="144"/>
      <c r="I192" s="32">
        <f>IF(B191&lt;'Умови та класичний графік'!$J$14,I191+J192,"")</f>
        <v>7952229.9941374231</v>
      </c>
      <c r="J192" s="32">
        <f>IF(B191&lt;'Умови та класичний графік'!$J$14,PPMT($J$21/12,B192,$J$12,$J$11,0,0),"")</f>
        <v>-39845.588889596715</v>
      </c>
      <c r="K192" s="32">
        <f>IF(B191&lt;'Умови та класичний графік'!$J$14,IPMT($J$21/12,B192,$J$12,$J$11,0,0),"")</f>
        <v>-149851.41718175664</v>
      </c>
      <c r="L192" s="30">
        <f>IF(B191&lt;'Умови та класичний графік'!$J$14,-(SUM(M192:V192)),"")</f>
        <v>0</v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>
        <f>IF(B191&lt;'Умови та класичний графік'!$J$14,XIRR($G$35:G192,$C$35:C192,0),"")</f>
        <v>0.39324059082031249</v>
      </c>
      <c r="X192" s="42"/>
      <c r="Y192" s="35"/>
    </row>
    <row r="193" spans="2:25" x14ac:dyDescent="0.2">
      <c r="B193" s="25">
        <v>158</v>
      </c>
      <c r="C193" s="36">
        <f>IF(B192&lt;'Умови та класичний графік'!$J$14,EDATE(C192,1),"")</f>
        <v>49004</v>
      </c>
      <c r="D193" s="36">
        <f>IF(B192&lt;'Умови та класичний графік'!$J$14,C192,"")</f>
        <v>48976</v>
      </c>
      <c r="E193" s="26">
        <f>IF(B192&lt;'Умови та класичний графік'!$J$14,C193-1,"")</f>
        <v>49003</v>
      </c>
      <c r="F193" s="37">
        <f>IF(B192&lt;'Умови та класичний графік'!$J$14,E193-D193+1,"")</f>
        <v>28</v>
      </c>
      <c r="G193" s="144">
        <f>IF(B192&lt;'Умови та класичний графік'!$J$14,-(SUM(J193:L193)),"")</f>
        <v>189697.00607135333</v>
      </c>
      <c r="H193" s="144"/>
      <c r="I193" s="32">
        <f>IF(B192&lt;'Умови та класичний графік'!$J$14,I192+J193,"")</f>
        <v>7911637.3004561467</v>
      </c>
      <c r="J193" s="32">
        <f>IF(B192&lt;'Умови та класичний графік'!$J$14,PPMT($J$21/12,B193,$J$12,$J$11,0,0),"")</f>
        <v>-40592.693681276651</v>
      </c>
      <c r="K193" s="32">
        <f>IF(B192&lt;'Умови та класичний графік'!$J$14,IPMT($J$21/12,B193,$J$12,$J$11,0,0),"")</f>
        <v>-149104.3123900767</v>
      </c>
      <c r="L193" s="30">
        <f>IF(B192&lt;'Умови та класичний графік'!$J$14,-(SUM(M193:V193)),"")</f>
        <v>0</v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>
        <f>IF(B192&lt;'Умови та класичний графік'!$J$14,XIRR($G$35:G193,$C$35:C193,0),"")</f>
        <v>0.39338555175781253</v>
      </c>
      <c r="X193" s="42"/>
      <c r="Y193" s="35"/>
    </row>
    <row r="194" spans="2:25" x14ac:dyDescent="0.2">
      <c r="B194" s="25">
        <v>159</v>
      </c>
      <c r="C194" s="36">
        <f>IF(B193&lt;'Умови та класичний графік'!$J$14,EDATE(C193,1),"")</f>
        <v>49035</v>
      </c>
      <c r="D194" s="36">
        <f>IF(B193&lt;'Умови та класичний графік'!$J$14,C193,"")</f>
        <v>49004</v>
      </c>
      <c r="E194" s="26">
        <f>IF(B193&lt;'Умови та класичний графік'!$J$14,C194-1,"")</f>
        <v>49034</v>
      </c>
      <c r="F194" s="37">
        <f>IF(B193&lt;'Умови та класичний графік'!$J$14,E194-D194+1,"")</f>
        <v>31</v>
      </c>
      <c r="G194" s="144">
        <f>IF(B193&lt;'Умови та класичний графік'!$J$14,-(SUM(J194:L194)),"")</f>
        <v>189697.00607135333</v>
      </c>
      <c r="H194" s="144"/>
      <c r="I194" s="32">
        <f>IF(B193&lt;'Умови та класичний графік'!$J$14,I193+J194,"")</f>
        <v>7870283.4937683465</v>
      </c>
      <c r="J194" s="32">
        <f>IF(B193&lt;'Умови та класичний графік'!$J$14,PPMT($J$21/12,B194,$J$12,$J$11,0,0),"")</f>
        <v>-41353.806687800592</v>
      </c>
      <c r="K194" s="32">
        <f>IF(B193&lt;'Умови та класичний графік'!$J$14,IPMT($J$21/12,B194,$J$12,$J$11,0,0),"")</f>
        <v>-148343.19938355274</v>
      </c>
      <c r="L194" s="30">
        <f>IF(B193&lt;'Умови та класичний графік'!$J$14,-(SUM(M194:V194)),"")</f>
        <v>0</v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>
        <f>IF(B193&lt;'Умови та класичний графік'!$J$14,XIRR($G$35:G194,$C$35:C194,0),"")</f>
        <v>0.39352618652343763</v>
      </c>
      <c r="X194" s="42"/>
      <c r="Y194" s="35"/>
    </row>
    <row r="195" spans="2:25" x14ac:dyDescent="0.2">
      <c r="B195" s="25">
        <v>160</v>
      </c>
      <c r="C195" s="36">
        <f>IF(B194&lt;'Умови та класичний графік'!$J$14,EDATE(C194,1),"")</f>
        <v>49065</v>
      </c>
      <c r="D195" s="36">
        <f>IF(B194&lt;'Умови та класичний графік'!$J$14,C194,"")</f>
        <v>49035</v>
      </c>
      <c r="E195" s="26">
        <f>IF(B194&lt;'Умови та класичний графік'!$J$14,C195-1,"")</f>
        <v>49064</v>
      </c>
      <c r="F195" s="37">
        <f>IF(B194&lt;'Умови та класичний графік'!$J$14,E195-D195+1,"")</f>
        <v>30</v>
      </c>
      <c r="G195" s="144">
        <f>IF(B194&lt;'Умови та класичний графік'!$J$14,-(SUM(J195:L195)),"")</f>
        <v>189697.00607135333</v>
      </c>
      <c r="H195" s="144"/>
      <c r="I195" s="32">
        <f>IF(B194&lt;'Умови та класичний графік'!$J$14,I194+J195,"")</f>
        <v>7828154.3032051492</v>
      </c>
      <c r="J195" s="32">
        <f>IF(B194&lt;'Умови та класичний графік'!$J$14,PPMT($J$21/12,B195,$J$12,$J$11,0,0),"")</f>
        <v>-42129.190563196848</v>
      </c>
      <c r="K195" s="32">
        <f>IF(B194&lt;'Умови та класичний графік'!$J$14,IPMT($J$21/12,B195,$J$12,$J$11,0,0),"")</f>
        <v>-147567.81550815649</v>
      </c>
      <c r="L195" s="30">
        <f>IF(B194&lt;'Умови та класичний графік'!$J$14,-(SUM(M195:V195)),"")</f>
        <v>0</v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>
        <f>IF(B194&lt;'Умови та класичний графік'!$J$14,XIRR($G$35:G195,$C$35:C195,0),"")</f>
        <v>0.39366275878906254</v>
      </c>
      <c r="X195" s="42"/>
      <c r="Y195" s="35"/>
    </row>
    <row r="196" spans="2:25" x14ac:dyDescent="0.2">
      <c r="B196" s="25">
        <v>161</v>
      </c>
      <c r="C196" s="36">
        <f>IF(B195&lt;'Умови та класичний графік'!$J$14,EDATE(C195,1),"")</f>
        <v>49096</v>
      </c>
      <c r="D196" s="36">
        <f>IF(B195&lt;'Умови та класичний графік'!$J$14,C195,"")</f>
        <v>49065</v>
      </c>
      <c r="E196" s="26">
        <f>IF(B195&lt;'Умови та класичний графік'!$J$14,C196-1,"")</f>
        <v>49095</v>
      </c>
      <c r="F196" s="37">
        <f>IF(B195&lt;'Умови та класичний графік'!$J$14,E196-D196+1,"")</f>
        <v>31</v>
      </c>
      <c r="G196" s="144">
        <f>IF(B195&lt;'Умови та класичний графік'!$J$14,-(SUM(J196:L196)),"")</f>
        <v>189697.00607135333</v>
      </c>
      <c r="H196" s="144"/>
      <c r="I196" s="32">
        <f>IF(B195&lt;'Умови та класичний графік'!$J$14,I195+J196,"")</f>
        <v>7785235.1903188927</v>
      </c>
      <c r="J196" s="32">
        <f>IF(B195&lt;'Умови та класичний графік'!$J$14,PPMT($J$21/12,B196,$J$12,$J$11,0,0),"")</f>
        <v>-42919.112886256793</v>
      </c>
      <c r="K196" s="32">
        <f>IF(B195&lt;'Умови та класичний графік'!$J$14,IPMT($J$21/12,B196,$J$12,$J$11,0,0),"")</f>
        <v>-146777.89318509653</v>
      </c>
      <c r="L196" s="30">
        <f>IF(B195&lt;'Умови та класичний графік'!$J$14,-(SUM(M196:V196)),"")</f>
        <v>0</v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>
        <f>IF(B195&lt;'Умови та класичний графік'!$J$14,XIRR($G$35:G196,$C$35:C196,0),"")</f>
        <v>0.39379527832031247</v>
      </c>
      <c r="X196" s="42"/>
      <c r="Y196" s="35"/>
    </row>
    <row r="197" spans="2:25" x14ac:dyDescent="0.2">
      <c r="B197" s="25">
        <v>162</v>
      </c>
      <c r="C197" s="36">
        <f>IF(B196&lt;'Умови та класичний графік'!$J$14,EDATE(C196,1),"")</f>
        <v>49126</v>
      </c>
      <c r="D197" s="36">
        <f>IF(B196&lt;'Умови та класичний графік'!$J$14,C196,"")</f>
        <v>49096</v>
      </c>
      <c r="E197" s="26">
        <f>IF(B196&lt;'Умови та класичний графік'!$J$14,C197-1,"")</f>
        <v>49125</v>
      </c>
      <c r="F197" s="37">
        <f>IF(B196&lt;'Умови та класичний графік'!$J$14,E197-D197+1,"")</f>
        <v>30</v>
      </c>
      <c r="G197" s="144">
        <f>IF(B196&lt;'Умови та класичний графік'!$J$14,-(SUM(J197:L197)),"")</f>
        <v>189697.00607135333</v>
      </c>
      <c r="H197" s="144"/>
      <c r="I197" s="32">
        <f>IF(B196&lt;'Умови та класичний графік'!$J$14,I196+J197,"")</f>
        <v>7741511.3440660182</v>
      </c>
      <c r="J197" s="32">
        <f>IF(B196&lt;'Умови та класичний графік'!$J$14,PPMT($J$21/12,B197,$J$12,$J$11,0,0),"")</f>
        <v>-43723.8462528741</v>
      </c>
      <c r="K197" s="32">
        <f>IF(B196&lt;'Умови та класичний графік'!$J$14,IPMT($J$21/12,B197,$J$12,$J$11,0,0),"")</f>
        <v>-145973.15981847924</v>
      </c>
      <c r="L197" s="30">
        <f>IF(B196&lt;'Умови та класичний графік'!$J$14,-(SUM(M197:V197)),"")</f>
        <v>0</v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>
        <f>IF(B196&lt;'Умови та класичний графік'!$J$14,XIRR($G$35:G197,$C$35:C197,0),"")</f>
        <v>0.3939239794921876</v>
      </c>
      <c r="X197" s="42"/>
      <c r="Y197" s="35"/>
    </row>
    <row r="198" spans="2:25" x14ac:dyDescent="0.2">
      <c r="B198" s="25">
        <v>163</v>
      </c>
      <c r="C198" s="36">
        <f>IF(B197&lt;'Умови та класичний графік'!$J$14,EDATE(C197,1),"")</f>
        <v>49157</v>
      </c>
      <c r="D198" s="36">
        <f>IF(B197&lt;'Умови та класичний графік'!$J$14,C197,"")</f>
        <v>49126</v>
      </c>
      <c r="E198" s="26">
        <f>IF(B197&lt;'Умови та класичний графік'!$J$14,C198-1,"")</f>
        <v>49156</v>
      </c>
      <c r="F198" s="37">
        <f>IF(B197&lt;'Умови та класичний графік'!$J$14,E198-D198+1,"")</f>
        <v>31</v>
      </c>
      <c r="G198" s="144">
        <f>IF(B197&lt;'Умови та класичний графік'!$J$14,-(SUM(J198:L198)),"")</f>
        <v>189697.00607135333</v>
      </c>
      <c r="H198" s="144"/>
      <c r="I198" s="32">
        <f>IF(B197&lt;'Умови та класичний графік'!$J$14,I197+J198,"")</f>
        <v>7696967.6756959027</v>
      </c>
      <c r="J198" s="32">
        <f>IF(B197&lt;'Умови та класичний графік'!$J$14,PPMT($J$21/12,B198,$J$12,$J$11,0,0),"")</f>
        <v>-44543.668370115498</v>
      </c>
      <c r="K198" s="32">
        <f>IF(B197&lt;'Умови та класичний графік'!$J$14,IPMT($J$21/12,B198,$J$12,$J$11,0,0),"")</f>
        <v>-145153.33770123785</v>
      </c>
      <c r="L198" s="30">
        <f>IF(B197&lt;'Умови та класичний графік'!$J$14,-(SUM(M198:V198)),"")</f>
        <v>0</v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>
        <f>IF(B197&lt;'Умови та класичний графік'!$J$14,XIRR($G$35:G198,$C$35:C198,0),"")</f>
        <v>0.39404886230468761</v>
      </c>
      <c r="X198" s="42"/>
      <c r="Y198" s="35"/>
    </row>
    <row r="199" spans="2:25" x14ac:dyDescent="0.2">
      <c r="B199" s="25">
        <v>164</v>
      </c>
      <c r="C199" s="36">
        <f>IF(B198&lt;'Умови та класичний графік'!$J$14,EDATE(C198,1),"")</f>
        <v>49188</v>
      </c>
      <c r="D199" s="36">
        <f>IF(B198&lt;'Умови та класичний графік'!$J$14,C198,"")</f>
        <v>49157</v>
      </c>
      <c r="E199" s="26">
        <f>IF(B198&lt;'Умови та класичний графік'!$J$14,C199-1,"")</f>
        <v>49187</v>
      </c>
      <c r="F199" s="37">
        <f>IF(B198&lt;'Умови та класичний графік'!$J$14,E199-D199+1,"")</f>
        <v>31</v>
      </c>
      <c r="G199" s="144">
        <f>IF(B198&lt;'Умови та класичний графік'!$J$14,-(SUM(J199:L199)),"")</f>
        <v>189697.00607135336</v>
      </c>
      <c r="H199" s="144"/>
      <c r="I199" s="32">
        <f>IF(B198&lt;'Умови та класичний графік'!$J$14,I198+J199,"")</f>
        <v>7651588.8135438478</v>
      </c>
      <c r="J199" s="32">
        <f>IF(B198&lt;'Умови та класичний графік'!$J$14,PPMT($J$21/12,B199,$J$12,$J$11,0,0),"")</f>
        <v>-45378.862152055161</v>
      </c>
      <c r="K199" s="32">
        <f>IF(B198&lt;'Умови та класичний графік'!$J$14,IPMT($J$21/12,B199,$J$12,$J$11,0,0),"")</f>
        <v>-144318.14391929819</v>
      </c>
      <c r="L199" s="30">
        <f>IF(B198&lt;'Умови та класичний графік'!$J$14,-(SUM(M199:V199)),"")</f>
        <v>0</v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>
        <f>IF(B198&lt;'Умови та класичний графік'!$J$14,XIRR($G$35:G199,$C$35:C199,0),"")</f>
        <v>0.3941700537109375</v>
      </c>
      <c r="X199" s="42"/>
      <c r="Y199" s="35"/>
    </row>
    <row r="200" spans="2:25" x14ac:dyDescent="0.2">
      <c r="B200" s="25">
        <v>165</v>
      </c>
      <c r="C200" s="36">
        <f>IF(B199&lt;'Умови та класичний графік'!$J$14,EDATE(C199,1),"")</f>
        <v>49218</v>
      </c>
      <c r="D200" s="36">
        <f>IF(B199&lt;'Умови та класичний графік'!$J$14,C199,"")</f>
        <v>49188</v>
      </c>
      <c r="E200" s="26">
        <f>IF(B199&lt;'Умови та класичний графік'!$J$14,C200-1,"")</f>
        <v>49217</v>
      </c>
      <c r="F200" s="37">
        <f>IF(B199&lt;'Умови та класичний графік'!$J$14,E200-D200+1,"")</f>
        <v>30</v>
      </c>
      <c r="G200" s="144">
        <f>IF(B199&lt;'Умови та класичний графік'!$J$14,-(SUM(J200:L200)),"")</f>
        <v>189697.00607135333</v>
      </c>
      <c r="H200" s="144"/>
      <c r="I200" s="32">
        <f>IF(B199&lt;'Умови та класичний графік'!$J$14,I199+J200,"")</f>
        <v>7605359.0977264419</v>
      </c>
      <c r="J200" s="32">
        <f>IF(B199&lt;'Умови та класичний графік'!$J$14,PPMT($J$21/12,B200,$J$12,$J$11,0,0),"")</f>
        <v>-46229.715817406199</v>
      </c>
      <c r="K200" s="32">
        <f>IF(B199&lt;'Умови та класичний графік'!$J$14,IPMT($J$21/12,B200,$J$12,$J$11,0,0),"")</f>
        <v>-143467.29025394714</v>
      </c>
      <c r="L200" s="30">
        <f>IF(B199&lt;'Умови та класичний графік'!$J$14,-(SUM(M200:V200)),"")</f>
        <v>0</v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>
        <f>IF(B199&lt;'Умови та класичний графік'!$J$14,XIRR($G$35:G200,$C$35:C200,0),"")</f>
        <v>0.39428775878906253</v>
      </c>
      <c r="X200" s="42"/>
      <c r="Y200" s="35"/>
    </row>
    <row r="201" spans="2:25" x14ac:dyDescent="0.2">
      <c r="B201" s="25">
        <v>166</v>
      </c>
      <c r="C201" s="36">
        <f>IF(B200&lt;'Умови та класичний графік'!$J$14,EDATE(C200,1),"")</f>
        <v>49249</v>
      </c>
      <c r="D201" s="36">
        <f>IF(B200&lt;'Умови та класичний графік'!$J$14,C200,"")</f>
        <v>49218</v>
      </c>
      <c r="E201" s="26">
        <f>IF(B200&lt;'Умови та класичний графік'!$J$14,C201-1,"")</f>
        <v>49248</v>
      </c>
      <c r="F201" s="37">
        <f>IF(B200&lt;'Умови та класичний графік'!$J$14,E201-D201+1,"")</f>
        <v>31</v>
      </c>
      <c r="G201" s="144">
        <f>IF(B200&lt;'Умови та класичний графік'!$J$14,-(SUM(J201:L201)),"")</f>
        <v>189697.00607135333</v>
      </c>
      <c r="H201" s="144"/>
      <c r="I201" s="32">
        <f>IF(B200&lt;'Умови та класичний графік'!$J$14,I200+J201,"")</f>
        <v>7558262.5747374594</v>
      </c>
      <c r="J201" s="32">
        <f>IF(B200&lt;'Умови та класичний графік'!$J$14,PPMT($J$21/12,B201,$J$12,$J$11,0,0),"")</f>
        <v>-47096.522988982564</v>
      </c>
      <c r="K201" s="32">
        <f>IF(B200&lt;'Умови та класичний графік'!$J$14,IPMT($J$21/12,B201,$J$12,$J$11,0,0),"")</f>
        <v>-142600.48308237077</v>
      </c>
      <c r="L201" s="30">
        <f>IF(B200&lt;'Умови та класичний графік'!$J$14,-(SUM(M201:V201)),"")</f>
        <v>0</v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>
        <f>IF(B200&lt;'Умови та класичний графік'!$J$14,XIRR($G$35:G201,$C$35:C201,0),"")</f>
        <v>0.39440199707031254</v>
      </c>
      <c r="X201" s="42"/>
      <c r="Y201" s="35"/>
    </row>
    <row r="202" spans="2:25" x14ac:dyDescent="0.2">
      <c r="B202" s="25">
        <v>167</v>
      </c>
      <c r="C202" s="36">
        <f>IF(B201&lt;'Умови та класичний графік'!$J$14,EDATE(C201,1),"")</f>
        <v>49279</v>
      </c>
      <c r="D202" s="36">
        <f>IF(B201&lt;'Умови та класичний графік'!$J$14,C201,"")</f>
        <v>49249</v>
      </c>
      <c r="E202" s="26">
        <f>IF(B201&lt;'Умови та класичний графік'!$J$14,C202-1,"")</f>
        <v>49278</v>
      </c>
      <c r="F202" s="37">
        <f>IF(B201&lt;'Умови та класичний графік'!$J$14,E202-D202+1,"")</f>
        <v>30</v>
      </c>
      <c r="G202" s="144">
        <f>IF(B201&lt;'Умови та класичний графік'!$J$14,-(SUM(J202:L202)),"")</f>
        <v>189697.00607135333</v>
      </c>
      <c r="H202" s="144"/>
      <c r="I202" s="32">
        <f>IF(B201&lt;'Умови та класичний графік'!$J$14,I201+J202,"")</f>
        <v>7510282.9919424336</v>
      </c>
      <c r="J202" s="32">
        <f>IF(B201&lt;'Умови та класичний графік'!$J$14,PPMT($J$21/12,B202,$J$12,$J$11,0,0),"")</f>
        <v>-47979.582795025985</v>
      </c>
      <c r="K202" s="32">
        <f>IF(B201&lt;'Умови та класичний графік'!$J$14,IPMT($J$21/12,B202,$J$12,$J$11,0,0),"")</f>
        <v>-141717.42327632735</v>
      </c>
      <c r="L202" s="30">
        <f>IF(B201&lt;'Умови та класичний графік'!$J$14,-(SUM(M202:V202)),"")</f>
        <v>0</v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>
        <f>IF(B201&lt;'Умови та класичний графік'!$J$14,XIRR($G$35:G202,$C$35:C202,0),"")</f>
        <v>0.39451295410156251</v>
      </c>
      <c r="X202" s="42"/>
      <c r="Y202" s="35"/>
    </row>
    <row r="203" spans="2:25" x14ac:dyDescent="0.2">
      <c r="B203" s="25">
        <v>168</v>
      </c>
      <c r="C203" s="36">
        <f>IF(B202&lt;'Умови та класичний графік'!$J$14,EDATE(C202,1),"")</f>
        <v>49310</v>
      </c>
      <c r="D203" s="36">
        <f>IF(B202&lt;'Умови та класичний графік'!$J$14,C202,"")</f>
        <v>49279</v>
      </c>
      <c r="E203" s="26">
        <f>IF(B202&lt;'Умови та класичний графік'!$J$14,C203-1,"")</f>
        <v>49309</v>
      </c>
      <c r="F203" s="37">
        <f>IF(B202&lt;'Умови та класичний графік'!$J$14,E203-D203+1,"")</f>
        <v>31</v>
      </c>
      <c r="G203" s="144">
        <f>IF(B202&lt;'Умови та класичний графік'!$J$14,-(SUM(J203:L203)),"")</f>
        <v>638081.21744726331</v>
      </c>
      <c r="H203" s="144"/>
      <c r="I203" s="32">
        <f>IF(B202&lt;'Умови та класичний графік'!$J$14,I202+J203,"")</f>
        <v>7461403.7919700006</v>
      </c>
      <c r="J203" s="32">
        <f>IF(B202&lt;'Умови та класичний графік'!$J$14,PPMT($J$21/12,B203,$J$12,$J$11,0,0),"")</f>
        <v>-48879.199972432725</v>
      </c>
      <c r="K203" s="32">
        <f>IF(B202&lt;'Умови та класичний графік'!$J$14,IPMT($J$21/12,B203,$J$12,$J$11,0,0),"")</f>
        <v>-140817.80609892061</v>
      </c>
      <c r="L203" s="30">
        <f>IF(B202&lt;'Умови та класичний графік'!$J$14,-(SUM(M203:V203)),"")</f>
        <v>-448384.21137590997</v>
      </c>
      <c r="M203" s="38"/>
      <c r="N203" s="39"/>
      <c r="O203" s="39"/>
      <c r="P203" s="32"/>
      <c r="Q203" s="40"/>
      <c r="R203" s="40"/>
      <c r="S203" s="41"/>
      <c r="T203" s="41"/>
      <c r="U203" s="33">
        <f>IF(B202&lt;'Умови та класичний графік'!$J$14,('Умови та класичний графік'!$J$15*$N$19)+(I203*$N$20),"")</f>
        <v>448384.21137590997</v>
      </c>
      <c r="V203" s="41"/>
      <c r="W203" s="43">
        <f>IF(B202&lt;'Умови та класичний графік'!$J$14,XIRR($G$35:G203,$C$35:C203,0),"")</f>
        <v>0.39487445800781251</v>
      </c>
      <c r="X203" s="42"/>
      <c r="Y203" s="35"/>
    </row>
    <row r="204" spans="2:25" x14ac:dyDescent="0.2">
      <c r="B204" s="25">
        <v>169</v>
      </c>
      <c r="C204" s="36">
        <f>IF(B203&lt;'Умови та класичний графік'!$J$14,EDATE(C203,1),"")</f>
        <v>49341</v>
      </c>
      <c r="D204" s="36">
        <f>IF(B203&lt;'Умови та класичний графік'!$J$14,C203,"")</f>
        <v>49310</v>
      </c>
      <c r="E204" s="26">
        <f>IF(B203&lt;'Умови та класичний графік'!$J$14,C204-1,"")</f>
        <v>49340</v>
      </c>
      <c r="F204" s="37">
        <f>IF(B203&lt;'Умови та класичний графік'!$J$14,E204-D204+1,"")</f>
        <v>31</v>
      </c>
      <c r="G204" s="144">
        <f>IF(B203&lt;'Умови та класичний графік'!$J$14,-(SUM(J204:L204)),"")</f>
        <v>189697.00607135333</v>
      </c>
      <c r="H204" s="144"/>
      <c r="I204" s="32">
        <f>IF(B203&lt;'Умови та класичний графік'!$J$14,I203+J204,"")</f>
        <v>7411608.106998085</v>
      </c>
      <c r="J204" s="32">
        <f>IF(B203&lt;'Умови та класичний графік'!$J$14,PPMT($J$21/12,B204,$J$12,$J$11,0,0),"")</f>
        <v>-49795.684971915827</v>
      </c>
      <c r="K204" s="32">
        <f>IF(B203&lt;'Умови та класичний графік'!$J$14,IPMT($J$21/12,B204,$J$12,$J$11,0,0),"")</f>
        <v>-139901.32109943751</v>
      </c>
      <c r="L204" s="30">
        <f>IF(B203&lt;'Умови та класичний графік'!$J$14,-(SUM(M204:V204)),"")</f>
        <v>0</v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>
        <f>IF(B203&lt;'Умови та класичний графік'!$J$14,XIRR($G$35:G204,$C$35:C204,0),"")</f>
        <v>0.39497855957031247</v>
      </c>
      <c r="X204" s="42"/>
      <c r="Y204" s="35"/>
    </row>
    <row r="205" spans="2:25" x14ac:dyDescent="0.2">
      <c r="B205" s="25">
        <v>170</v>
      </c>
      <c r="C205" s="36">
        <f>IF(B204&lt;'Умови та класичний графік'!$J$14,EDATE(C204,1),"")</f>
        <v>49369</v>
      </c>
      <c r="D205" s="36">
        <f>IF(B204&lt;'Умови та класичний графік'!$J$14,C204,"")</f>
        <v>49341</v>
      </c>
      <c r="E205" s="26">
        <f>IF(B204&lt;'Умови та класичний графік'!$J$14,C205-1,"")</f>
        <v>49368</v>
      </c>
      <c r="F205" s="37">
        <f>IF(B204&lt;'Умови та класичний графік'!$J$14,E205-D205+1,"")</f>
        <v>28</v>
      </c>
      <c r="G205" s="144">
        <f>IF(B204&lt;'Умови та класичний графік'!$J$14,-(SUM(J205:L205)),"")</f>
        <v>189697.00607135333</v>
      </c>
      <c r="H205" s="144"/>
      <c r="I205" s="32">
        <f>IF(B204&lt;'Умови та класичний графік'!$J$14,I204+J205,"")</f>
        <v>7360878.7529329462</v>
      </c>
      <c r="J205" s="32">
        <f>IF(B204&lt;'Умови та класичний графік'!$J$14,PPMT($J$21/12,B205,$J$12,$J$11,0,0),"")</f>
        <v>-50729.354065139261</v>
      </c>
      <c r="K205" s="32">
        <f>IF(B204&lt;'Умови та класичний графік'!$J$14,IPMT($J$21/12,B205,$J$12,$J$11,0,0),"")</f>
        <v>-138967.65200621408</v>
      </c>
      <c r="L205" s="30">
        <f>IF(B204&lt;'Умови та класичний графік'!$J$14,-(SUM(M205:V205)),"")</f>
        <v>0</v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>
        <f>IF(B204&lt;'Умови та класичний графік'!$J$14,XIRR($G$35:G205,$C$35:C205,0),"")</f>
        <v>0.39507987792968746</v>
      </c>
      <c r="X205" s="42"/>
      <c r="Y205" s="35"/>
    </row>
    <row r="206" spans="2:25" x14ac:dyDescent="0.2">
      <c r="B206" s="25">
        <v>171</v>
      </c>
      <c r="C206" s="36">
        <f>IF(B205&lt;'Умови та класичний графік'!$J$14,EDATE(C205,1),"")</f>
        <v>49400</v>
      </c>
      <c r="D206" s="36">
        <f>IF(B205&lt;'Умови та класичний графік'!$J$14,C205,"")</f>
        <v>49369</v>
      </c>
      <c r="E206" s="26">
        <f>IF(B205&lt;'Умови та класичний графік'!$J$14,C206-1,"")</f>
        <v>49399</v>
      </c>
      <c r="F206" s="37">
        <f>IF(B205&lt;'Умови та класичний графік'!$J$14,E206-D206+1,"")</f>
        <v>31</v>
      </c>
      <c r="G206" s="144">
        <f>IF(B205&lt;'Умови та класичний графік'!$J$14,-(SUM(J206:L206)),"")</f>
        <v>189697.00607135333</v>
      </c>
      <c r="H206" s="144"/>
      <c r="I206" s="32">
        <f>IF(B205&lt;'Умови та класичний графік'!$J$14,I205+J206,"")</f>
        <v>7309198.2234790856</v>
      </c>
      <c r="J206" s="32">
        <f>IF(B205&lt;'Умови та класичний графік'!$J$14,PPMT($J$21/12,B206,$J$12,$J$11,0,0),"")</f>
        <v>-51680.529453860625</v>
      </c>
      <c r="K206" s="32">
        <f>IF(B205&lt;'Умови та класичний графік'!$J$14,IPMT($J$21/12,B206,$J$12,$J$11,0,0),"")</f>
        <v>-138016.47661749271</v>
      </c>
      <c r="L206" s="30">
        <f>IF(B205&lt;'Умови та класичний графік'!$J$14,-(SUM(M206:V206)),"")</f>
        <v>0</v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>
        <f>IF(B205&lt;'Умови та класичний графік'!$J$14,XIRR($G$35:G206,$C$35:C206,0),"")</f>
        <v>0.39517820800781245</v>
      </c>
      <c r="X206" s="42"/>
      <c r="Y206" s="35"/>
    </row>
    <row r="207" spans="2:25" x14ac:dyDescent="0.2">
      <c r="B207" s="25">
        <v>172</v>
      </c>
      <c r="C207" s="36">
        <f>IF(B206&lt;'Умови та класичний графік'!$J$14,EDATE(C206,1),"")</f>
        <v>49430</v>
      </c>
      <c r="D207" s="36">
        <f>IF(B206&lt;'Умови та класичний графік'!$J$14,C206,"")</f>
        <v>49400</v>
      </c>
      <c r="E207" s="26">
        <f>IF(B206&lt;'Умови та класичний графік'!$J$14,C207-1,"")</f>
        <v>49429</v>
      </c>
      <c r="F207" s="37">
        <f>IF(B206&lt;'Умови та класичний графік'!$J$14,E207-D207+1,"")</f>
        <v>30</v>
      </c>
      <c r="G207" s="144">
        <f>IF(B206&lt;'Умови та класичний графік'!$J$14,-(SUM(J207:L207)),"")</f>
        <v>189697.00607135333</v>
      </c>
      <c r="H207" s="144"/>
      <c r="I207" s="32">
        <f>IF(B206&lt;'Умови та класичний графік'!$J$14,I206+J207,"")</f>
        <v>7256548.6840979652</v>
      </c>
      <c r="J207" s="32">
        <f>IF(B206&lt;'Умови та класичний графік'!$J$14,PPMT($J$21/12,B207,$J$12,$J$11,0,0),"")</f>
        <v>-52649.539381120507</v>
      </c>
      <c r="K207" s="32">
        <f>IF(B206&lt;'Умови та класичний графік'!$J$14,IPMT($J$21/12,B207,$J$12,$J$11,0,0),"")</f>
        <v>-137047.46669023283</v>
      </c>
      <c r="L207" s="30">
        <f>IF(B206&lt;'Умови та класичний графік'!$J$14,-(SUM(M207:V207)),"")</f>
        <v>0</v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>
        <f>IF(B206&lt;'Умови та класичний графік'!$J$14,XIRR($G$35:G207,$C$35:C207,0),"")</f>
        <v>0.39527374511718749</v>
      </c>
      <c r="X207" s="42"/>
      <c r="Y207" s="35"/>
    </row>
    <row r="208" spans="2:25" x14ac:dyDescent="0.2">
      <c r="B208" s="25">
        <v>173</v>
      </c>
      <c r="C208" s="36">
        <f>IF(B207&lt;'Умови та класичний графік'!$J$14,EDATE(C207,1),"")</f>
        <v>49461</v>
      </c>
      <c r="D208" s="36">
        <f>IF(B207&lt;'Умови та класичний графік'!$J$14,C207,"")</f>
        <v>49430</v>
      </c>
      <c r="E208" s="26">
        <f>IF(B207&lt;'Умови та класичний графік'!$J$14,C208-1,"")</f>
        <v>49460</v>
      </c>
      <c r="F208" s="37">
        <f>IF(B207&lt;'Умови та класичний графік'!$J$14,E208-D208+1,"")</f>
        <v>31</v>
      </c>
      <c r="G208" s="144">
        <f>IF(B207&lt;'Умови та класичний графік'!$J$14,-(SUM(J208:L208)),"")</f>
        <v>189697.00607135333</v>
      </c>
      <c r="H208" s="144"/>
      <c r="I208" s="32">
        <f>IF(B207&lt;'Умови та класичний графік'!$J$14,I207+J208,"")</f>
        <v>7202911.965853449</v>
      </c>
      <c r="J208" s="32">
        <f>IF(B207&lt;'Умови та класичний графік'!$J$14,PPMT($J$21/12,B208,$J$12,$J$11,0,0),"")</f>
        <v>-53636.718244516516</v>
      </c>
      <c r="K208" s="32">
        <f>IF(B207&lt;'Умови та класичний графік'!$J$14,IPMT($J$21/12,B208,$J$12,$J$11,0,0),"")</f>
        <v>-136060.28782683681</v>
      </c>
      <c r="L208" s="30">
        <f>IF(B207&lt;'Умови та класичний графік'!$J$14,-(SUM(M208:V208)),"")</f>
        <v>0</v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>
        <f>IF(B207&lt;'Умови та класичний графік'!$J$14,XIRR($G$35:G208,$C$35:C208,0),"")</f>
        <v>0.39536646972656264</v>
      </c>
      <c r="X208" s="42"/>
      <c r="Y208" s="35"/>
    </row>
    <row r="209" spans="2:25" x14ac:dyDescent="0.2">
      <c r="B209" s="25">
        <v>174</v>
      </c>
      <c r="C209" s="36">
        <f>IF(B208&lt;'Умови та класичний графік'!$J$14,EDATE(C208,1),"")</f>
        <v>49491</v>
      </c>
      <c r="D209" s="36">
        <f>IF(B208&lt;'Умови та класичний графік'!$J$14,C208,"")</f>
        <v>49461</v>
      </c>
      <c r="E209" s="26">
        <f>IF(B208&lt;'Умови та класичний графік'!$J$14,C209-1,"")</f>
        <v>49490</v>
      </c>
      <c r="F209" s="37">
        <f>IF(B208&lt;'Умови та класичний графік'!$J$14,E209-D209+1,"")</f>
        <v>30</v>
      </c>
      <c r="G209" s="144">
        <f>IF(B208&lt;'Умови та класичний графік'!$J$14,-(SUM(J209:L209)),"")</f>
        <v>189697.00607135333</v>
      </c>
      <c r="H209" s="144"/>
      <c r="I209" s="32">
        <f>IF(B208&lt;'Умови та класичний графік'!$J$14,I208+J209,"")</f>
        <v>7148269.5591418473</v>
      </c>
      <c r="J209" s="32">
        <f>IF(B208&lt;'Умови та класичний графік'!$J$14,PPMT($J$21/12,B209,$J$12,$J$11,0,0),"")</f>
        <v>-54642.406711601201</v>
      </c>
      <c r="K209" s="32">
        <f>IF(B208&lt;'Умови та класичний графік'!$J$14,IPMT($J$21/12,B209,$J$12,$J$11,0,0),"")</f>
        <v>-135054.59935975214</v>
      </c>
      <c r="L209" s="30">
        <f>IF(B208&lt;'Умови та класичний графік'!$J$14,-(SUM(M209:V209)),"")</f>
        <v>0</v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>
        <f>IF(B208&lt;'Умови та класичний графік'!$J$14,XIRR($G$35:G209,$C$35:C209,0),"")</f>
        <v>0.39545655761718757</v>
      </c>
      <c r="X209" s="42"/>
      <c r="Y209" s="35"/>
    </row>
    <row r="210" spans="2:25" x14ac:dyDescent="0.2">
      <c r="B210" s="25">
        <v>175</v>
      </c>
      <c r="C210" s="36">
        <f>IF(B209&lt;'Умови та класичний графік'!$J$14,EDATE(C209,1),"")</f>
        <v>49522</v>
      </c>
      <c r="D210" s="36">
        <f>IF(B209&lt;'Умови та класичний графік'!$J$14,C209,"")</f>
        <v>49491</v>
      </c>
      <c r="E210" s="26">
        <f>IF(B209&lt;'Умови та класичний графік'!$J$14,C210-1,"")</f>
        <v>49521</v>
      </c>
      <c r="F210" s="37">
        <f>IF(B209&lt;'Умови та класичний графік'!$J$14,E210-D210+1,"")</f>
        <v>31</v>
      </c>
      <c r="G210" s="144">
        <f>IF(B209&lt;'Умови та класичний графік'!$J$14,-(SUM(J210:L210)),"")</f>
        <v>189697.00607135333</v>
      </c>
      <c r="H210" s="144"/>
      <c r="I210" s="32">
        <f>IF(B209&lt;'Умови та класичний графік'!$J$14,I209+J210,"")</f>
        <v>7092602.6073044036</v>
      </c>
      <c r="J210" s="32">
        <f>IF(B209&lt;'Умови та класичний графік'!$J$14,PPMT($J$21/12,B210,$J$12,$J$11,0,0),"")</f>
        <v>-55666.951837443732</v>
      </c>
      <c r="K210" s="32">
        <f>IF(B209&lt;'Умови та класичний графік'!$J$14,IPMT($J$21/12,B210,$J$12,$J$11,0,0),"")</f>
        <v>-134030.05423390961</v>
      </c>
      <c r="L210" s="30">
        <f>IF(B209&lt;'Умови та класичний графік'!$J$14,-(SUM(M210:V210)),"")</f>
        <v>0</v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>
        <f>IF(B209&lt;'Умови та класичний графік'!$J$14,XIRR($G$35:G210,$C$35:C210,0),"")</f>
        <v>0.3955440087890626</v>
      </c>
      <c r="X210" s="42"/>
      <c r="Y210" s="35"/>
    </row>
    <row r="211" spans="2:25" x14ac:dyDescent="0.2">
      <c r="B211" s="25">
        <v>176</v>
      </c>
      <c r="C211" s="36">
        <f>IF(B210&lt;'Умови та класичний графік'!$J$14,EDATE(C210,1),"")</f>
        <v>49553</v>
      </c>
      <c r="D211" s="36">
        <f>IF(B210&lt;'Умови та класичний графік'!$J$14,C210,"")</f>
        <v>49522</v>
      </c>
      <c r="E211" s="26">
        <f>IF(B210&lt;'Умови та класичний графік'!$J$14,C211-1,"")</f>
        <v>49552</v>
      </c>
      <c r="F211" s="37">
        <f>IF(B210&lt;'Умови та класичний графік'!$J$14,E211-D211+1,"")</f>
        <v>31</v>
      </c>
      <c r="G211" s="144">
        <f>IF(B210&lt;'Умови та класичний графік'!$J$14,-(SUM(J211:L211)),"")</f>
        <v>189697.00607135333</v>
      </c>
      <c r="H211" s="144"/>
      <c r="I211" s="32">
        <f>IF(B210&lt;'Умови та класичний графік'!$J$14,I210+J211,"")</f>
        <v>7035891.9001200078</v>
      </c>
      <c r="J211" s="32">
        <f>IF(B210&lt;'Умови та класичний графік'!$J$14,PPMT($J$21/12,B211,$J$12,$J$11,0,0),"")</f>
        <v>-56710.707184395782</v>
      </c>
      <c r="K211" s="32">
        <f>IF(B210&lt;'Умови та класичний графік'!$J$14,IPMT($J$21/12,B211,$J$12,$J$11,0,0),"")</f>
        <v>-132986.29888695755</v>
      </c>
      <c r="L211" s="30">
        <f>IF(B210&lt;'Умови та класичний графік'!$J$14,-(SUM(M211:V211)),"")</f>
        <v>0</v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>
        <f>IF(B210&lt;'Умови та класичний графік'!$J$14,XIRR($G$35:G211,$C$35:C211,0),"")</f>
        <v>0.39562889160156256</v>
      </c>
      <c r="X211" s="42"/>
      <c r="Y211" s="35"/>
    </row>
    <row r="212" spans="2:25" x14ac:dyDescent="0.2">
      <c r="B212" s="25">
        <v>177</v>
      </c>
      <c r="C212" s="36">
        <f>IF(B211&lt;'Умови та класичний графік'!$J$14,EDATE(C211,1),"")</f>
        <v>49583</v>
      </c>
      <c r="D212" s="36">
        <f>IF(B211&lt;'Умови та класичний графік'!$J$14,C211,"")</f>
        <v>49553</v>
      </c>
      <c r="E212" s="26">
        <f>IF(B211&lt;'Умови та класичний графік'!$J$14,C212-1,"")</f>
        <v>49582</v>
      </c>
      <c r="F212" s="37">
        <f>IF(B211&lt;'Умови та класичний графік'!$J$14,E212-D212+1,"")</f>
        <v>30</v>
      </c>
      <c r="G212" s="144">
        <f>IF(B211&lt;'Умови та класичний графік'!$J$14,-(SUM(J212:L212)),"")</f>
        <v>189697.00607135333</v>
      </c>
      <c r="H212" s="144"/>
      <c r="I212" s="32">
        <f>IF(B211&lt;'Умови та класичний графік'!$J$14,I211+J212,"")</f>
        <v>6978117.867175905</v>
      </c>
      <c r="J212" s="32">
        <f>IF(B211&lt;'Умови та класичний графік'!$J$14,PPMT($J$21/12,B212,$J$12,$J$11,0,0),"")</f>
        <v>-57774.032944103215</v>
      </c>
      <c r="K212" s="32">
        <f>IF(B211&lt;'Умови та класичний графік'!$J$14,IPMT($J$21/12,B212,$J$12,$J$11,0,0),"")</f>
        <v>-131922.97312725012</v>
      </c>
      <c r="L212" s="30">
        <f>IF(B211&lt;'Умови та класичний графік'!$J$14,-(SUM(M212:V212)),"")</f>
        <v>0</v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>
        <f>IF(B211&lt;'Умови та класичний графік'!$J$14,XIRR($G$35:G212,$C$35:C212,0),"")</f>
        <v>0.39571137207031259</v>
      </c>
      <c r="X212" s="42"/>
      <c r="Y212" s="35"/>
    </row>
    <row r="213" spans="2:25" x14ac:dyDescent="0.2">
      <c r="B213" s="25">
        <v>178</v>
      </c>
      <c r="C213" s="36">
        <f>IF(B212&lt;'Умови та класичний графік'!$J$14,EDATE(C212,1),"")</f>
        <v>49614</v>
      </c>
      <c r="D213" s="36">
        <f>IF(B212&lt;'Умови та класичний графік'!$J$14,C212,"")</f>
        <v>49583</v>
      </c>
      <c r="E213" s="26">
        <f>IF(B212&lt;'Умови та класичний графік'!$J$14,C213-1,"")</f>
        <v>49613</v>
      </c>
      <c r="F213" s="37">
        <f>IF(B212&lt;'Умови та класичний графік'!$J$14,E213-D213+1,"")</f>
        <v>31</v>
      </c>
      <c r="G213" s="144">
        <f>IF(B212&lt;'Умови та класичний графік'!$J$14,-(SUM(J213:L213)),"")</f>
        <v>189697.00607135336</v>
      </c>
      <c r="H213" s="144"/>
      <c r="I213" s="32">
        <f>IF(B212&lt;'Умови та класичний графік'!$J$14,I212+J213,"")</f>
        <v>6919260.5711140996</v>
      </c>
      <c r="J213" s="32">
        <f>IF(B212&lt;'Умови та класичний графік'!$J$14,PPMT($J$21/12,B213,$J$12,$J$11,0,0),"")</f>
        <v>-58857.296061805158</v>
      </c>
      <c r="K213" s="32">
        <f>IF(B212&lt;'Умови та класичний графік'!$J$14,IPMT($J$21/12,B213,$J$12,$J$11,0,0),"")</f>
        <v>-130839.7100095482</v>
      </c>
      <c r="L213" s="30">
        <f>IF(B212&lt;'Умови та класичний графік'!$J$14,-(SUM(M213:V213)),"")</f>
        <v>0</v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>
        <f>IF(B212&lt;'Умови та класичний графік'!$J$14,XIRR($G$35:G213,$C$35:C213,0),"")</f>
        <v>0.39579145019531248</v>
      </c>
      <c r="X213" s="42"/>
      <c r="Y213" s="35"/>
    </row>
    <row r="214" spans="2:25" x14ac:dyDescent="0.2">
      <c r="B214" s="25">
        <v>179</v>
      </c>
      <c r="C214" s="36">
        <f>IF(B213&lt;'Умови та класичний графік'!$J$14,EDATE(C213,1),"")</f>
        <v>49644</v>
      </c>
      <c r="D214" s="36">
        <f>IF(B213&lt;'Умови та класичний графік'!$J$14,C213,"")</f>
        <v>49614</v>
      </c>
      <c r="E214" s="26">
        <f>IF(B213&lt;'Умови та класичний графік'!$J$14,C214-1,"")</f>
        <v>49643</v>
      </c>
      <c r="F214" s="37">
        <f>IF(B213&lt;'Умови та класичний графік'!$J$14,E214-D214+1,"")</f>
        <v>30</v>
      </c>
      <c r="G214" s="144">
        <f>IF(B213&lt;'Умови та класичний графік'!$J$14,-(SUM(J214:L214)),"")</f>
        <v>189697.00607135333</v>
      </c>
      <c r="H214" s="144"/>
      <c r="I214" s="32">
        <f>IF(B213&lt;'Умови та класичний графік'!$J$14,I213+J214,"")</f>
        <v>6859299.7007511351</v>
      </c>
      <c r="J214" s="32">
        <f>IF(B213&lt;'Умови та класичний графік'!$J$14,PPMT($J$21/12,B214,$J$12,$J$11,0,0),"")</f>
        <v>-59960.870362963993</v>
      </c>
      <c r="K214" s="32">
        <f>IF(B213&lt;'Умови та класичний графік'!$J$14,IPMT($J$21/12,B214,$J$12,$J$11,0,0),"")</f>
        <v>-129736.13570838932</v>
      </c>
      <c r="L214" s="30">
        <f>IF(B213&lt;'Умови та класичний графік'!$J$14,-(SUM(M214:V214)),"")</f>
        <v>0</v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>
        <f>IF(B213&lt;'Умови та класичний графік'!$J$14,XIRR($G$35:G214,$C$35:C214,0),"")</f>
        <v>0.39586925292968755</v>
      </c>
      <c r="X214" s="42"/>
      <c r="Y214" s="35"/>
    </row>
    <row r="215" spans="2:25" x14ac:dyDescent="0.2">
      <c r="B215" s="25">
        <v>180</v>
      </c>
      <c r="C215" s="36">
        <f>IF(B214&lt;'Умови та класичний графік'!$J$14,EDATE(C214,1),"")</f>
        <v>49675</v>
      </c>
      <c r="D215" s="36">
        <f>IF(B214&lt;'Умови та класичний графік'!$J$14,C214,"")</f>
        <v>49644</v>
      </c>
      <c r="E215" s="26">
        <f>IF(B214&lt;'Умови та класичний графік'!$J$14,C215-1,"")</f>
        <v>49674</v>
      </c>
      <c r="F215" s="37">
        <f>IF(B214&lt;'Умови та класичний графік'!$J$14,E215-D215+1,"")</f>
        <v>31</v>
      </c>
      <c r="G215" s="144">
        <f>IF(B214&lt;'Умови та класичний графік'!$J$14,-(SUM(J215:L215)),"")</f>
        <v>636091.64976355992</v>
      </c>
      <c r="H215" s="144"/>
      <c r="I215" s="32">
        <f>IF(B214&lt;'Умови та класичний графік'!$J$14,I214+J215,"")</f>
        <v>6798214.564068866</v>
      </c>
      <c r="J215" s="32">
        <f>IF(B214&lt;'Умови та класичний графік'!$J$14,PPMT($J$21/12,B215,$J$12,$J$11,0,0),"")</f>
        <v>-61085.136682269571</v>
      </c>
      <c r="K215" s="32">
        <f>IF(B214&lt;'Умови та класичний графік'!$J$14,IPMT($J$21/12,B215,$J$12,$J$11,0,0),"")</f>
        <v>-128611.86938908375</v>
      </c>
      <c r="L215" s="30">
        <f>IF(B214&lt;'Умови та класичний графік'!$J$14,-(SUM(M215:V215)),"")</f>
        <v>-446394.64369220659</v>
      </c>
      <c r="M215" s="38"/>
      <c r="N215" s="39"/>
      <c r="O215" s="39"/>
      <c r="P215" s="32"/>
      <c r="Q215" s="40"/>
      <c r="R215" s="40"/>
      <c r="S215" s="41"/>
      <c r="T215" s="41"/>
      <c r="U215" s="33">
        <f>IF(B214&lt;'Умови та класичний графік'!$J$14,('Умови та класичний графік'!$J$15*$N$19)+(I215*$N$20),"")</f>
        <v>446394.64369220659</v>
      </c>
      <c r="V215" s="41"/>
      <c r="W215" s="43">
        <f>IF(B214&lt;'Умови та класичний графік'!$J$14,XIRR($G$35:G215,$C$35:C215,0),"")</f>
        <v>0.39612214355468756</v>
      </c>
      <c r="X215" s="42"/>
      <c r="Y215" s="35"/>
    </row>
    <row r="216" spans="2:25" x14ac:dyDescent="0.2">
      <c r="B216" s="25">
        <v>181</v>
      </c>
      <c r="C216" s="36">
        <f>IF(B215&lt;'Умови та класичний графік'!$J$14,EDATE(C215,1),"")</f>
        <v>49706</v>
      </c>
      <c r="D216" s="36">
        <f>IF(B215&lt;'Умови та класичний графік'!$J$14,C215,"")</f>
        <v>49675</v>
      </c>
      <c r="E216" s="26">
        <f>IF(B215&lt;'Умови та класичний графік'!$J$14,C216-1,"")</f>
        <v>49705</v>
      </c>
      <c r="F216" s="37">
        <f>IF(B215&lt;'Умови та класичний графік'!$J$14,E216-D216+1,"")</f>
        <v>31</v>
      </c>
      <c r="G216" s="144">
        <f>IF(B215&lt;'Умови та класичний графік'!$J$14,-(SUM(J216:L216)),"")</f>
        <v>189697.00607135333</v>
      </c>
      <c r="H216" s="144"/>
      <c r="I216" s="32">
        <f>IF(B215&lt;'Умови та класичний графік'!$J$14,I215+J216,"")</f>
        <v>6735984.0810738038</v>
      </c>
      <c r="J216" s="32">
        <f>IF(B215&lt;'Умови та класичний графік'!$J$14,PPMT($J$21/12,B216,$J$12,$J$11,0,0),"")</f>
        <v>-62230.482995062121</v>
      </c>
      <c r="K216" s="32">
        <f>IF(B215&lt;'Умови та класичний графік'!$J$14,IPMT($J$21/12,B216,$J$12,$J$11,0,0),"")</f>
        <v>-127466.5230762912</v>
      </c>
      <c r="L216" s="30">
        <f>IF(B215&lt;'Умови та класичний графік'!$J$14,-(SUM(M216:V216)),"")</f>
        <v>0</v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>
        <f>IF(B215&lt;'Умови та класичний графік'!$J$14,XIRR($G$35:G216,$C$35:C216,0),"")</f>
        <v>0.39619525878906259</v>
      </c>
      <c r="X216" s="42"/>
      <c r="Y216" s="35"/>
    </row>
    <row r="217" spans="2:25" x14ac:dyDescent="0.2">
      <c r="B217" s="25">
        <v>182</v>
      </c>
      <c r="C217" s="36">
        <f>IF(B216&lt;'Умови та класичний графік'!$J$14,EDATE(C216,1),"")</f>
        <v>49735</v>
      </c>
      <c r="D217" s="36">
        <f>IF(B216&lt;'Умови та класичний графік'!$J$14,C216,"")</f>
        <v>49706</v>
      </c>
      <c r="E217" s="26">
        <f>IF(B216&lt;'Умови та класичний графік'!$J$14,C217-1,"")</f>
        <v>49734</v>
      </c>
      <c r="F217" s="37">
        <f>IF(B216&lt;'Умови та класичний графік'!$J$14,E217-D217+1,"")</f>
        <v>29</v>
      </c>
      <c r="G217" s="144">
        <f>IF(B216&lt;'Умови та класичний графік'!$J$14,-(SUM(J217:L217)),"")</f>
        <v>189697.00607135333</v>
      </c>
      <c r="H217" s="144"/>
      <c r="I217" s="32">
        <f>IF(B216&lt;'Умови та класичний графік'!$J$14,I216+J217,"")</f>
        <v>6672586.7765225843</v>
      </c>
      <c r="J217" s="32">
        <f>IF(B216&lt;'Умови та класичний графік'!$J$14,PPMT($J$21/12,B217,$J$12,$J$11,0,0),"")</f>
        <v>-63397.304551219539</v>
      </c>
      <c r="K217" s="32">
        <f>IF(B216&lt;'Умови та класичний графік'!$J$14,IPMT($J$21/12,B217,$J$12,$J$11,0,0),"")</f>
        <v>-126299.70152013378</v>
      </c>
      <c r="L217" s="30">
        <f>IF(B216&lt;'Умови та класичний графік'!$J$14,-(SUM(M217:V217)),"")</f>
        <v>0</v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>
        <f>IF(B216&lt;'Умови та класичний графік'!$J$14,XIRR($G$35:G217,$C$35:C217,0),"")</f>
        <v>0.39626636230468759</v>
      </c>
      <c r="X217" s="42"/>
      <c r="Y217" s="35"/>
    </row>
    <row r="218" spans="2:25" x14ac:dyDescent="0.2">
      <c r="B218" s="25">
        <v>183</v>
      </c>
      <c r="C218" s="36">
        <f>IF(B217&lt;'Умови та класичний графік'!$J$14,EDATE(C217,1),"")</f>
        <v>49766</v>
      </c>
      <c r="D218" s="36">
        <f>IF(B217&lt;'Умови та класичний графік'!$J$14,C217,"")</f>
        <v>49735</v>
      </c>
      <c r="E218" s="26">
        <f>IF(B217&lt;'Умови та класичний графік'!$J$14,C218-1,"")</f>
        <v>49765</v>
      </c>
      <c r="F218" s="37">
        <f>IF(B217&lt;'Умови та класичний графік'!$J$14,E218-D218+1,"")</f>
        <v>31</v>
      </c>
      <c r="G218" s="144">
        <f>IF(B217&lt;'Умови та класичний графік'!$J$14,-(SUM(J218:L218)),"")</f>
        <v>189697.00607135333</v>
      </c>
      <c r="H218" s="144"/>
      <c r="I218" s="32">
        <f>IF(B217&lt;'Умови та класичний графік'!$J$14,I217+J218,"")</f>
        <v>6608000.7725110296</v>
      </c>
      <c r="J218" s="32">
        <f>IF(B217&lt;'Умови та класичний графік'!$J$14,PPMT($J$21/12,B218,$J$12,$J$11,0,0),"")</f>
        <v>-64586.004011554891</v>
      </c>
      <c r="K218" s="32">
        <f>IF(B217&lt;'Умови та класичний графік'!$J$14,IPMT($J$21/12,B218,$J$12,$J$11,0,0),"")</f>
        <v>-125111.00205979845</v>
      </c>
      <c r="L218" s="30">
        <f>IF(B217&lt;'Умови та класичний графік'!$J$14,-(SUM(M218:V218)),"")</f>
        <v>0</v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>
        <f>IF(B217&lt;'Умови та класичний графік'!$J$14,XIRR($G$35:G218,$C$35:C218,0),"")</f>
        <v>0.39633540527343758</v>
      </c>
      <c r="X218" s="42"/>
      <c r="Y218" s="35"/>
    </row>
    <row r="219" spans="2:25" x14ac:dyDescent="0.2">
      <c r="B219" s="25">
        <v>184</v>
      </c>
      <c r="C219" s="36">
        <f>IF(B218&lt;'Умови та класичний графік'!$J$14,EDATE(C218,1),"")</f>
        <v>49796</v>
      </c>
      <c r="D219" s="36">
        <f>IF(B218&lt;'Умови та класичний графік'!$J$14,C218,"")</f>
        <v>49766</v>
      </c>
      <c r="E219" s="26">
        <f>IF(B218&lt;'Умови та класичний графік'!$J$14,C219-1,"")</f>
        <v>49795</v>
      </c>
      <c r="F219" s="37">
        <f>IF(B218&lt;'Умови та класичний графік'!$J$14,E219-D219+1,"")</f>
        <v>30</v>
      </c>
      <c r="G219" s="144">
        <f>IF(B218&lt;'Умови та класичний графік'!$J$14,-(SUM(J219:L219)),"")</f>
        <v>189697.00607135333</v>
      </c>
      <c r="H219" s="144"/>
      <c r="I219" s="32">
        <f>IF(B218&lt;'Умови та класичний графік'!$J$14,I218+J219,"")</f>
        <v>6542203.7809242578</v>
      </c>
      <c r="J219" s="32">
        <f>IF(B218&lt;'Умови та класичний графік'!$J$14,PPMT($J$21/12,B219,$J$12,$J$11,0,0),"")</f>
        <v>-65796.991586771546</v>
      </c>
      <c r="K219" s="32">
        <f>IF(B218&lt;'Умови та класичний графік'!$J$14,IPMT($J$21/12,B219,$J$12,$J$11,0,0),"")</f>
        <v>-123900.01448458178</v>
      </c>
      <c r="L219" s="30">
        <f>IF(B218&lt;'Умови та класичний графік'!$J$14,-(SUM(M219:V219)),"")</f>
        <v>0</v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>
        <f>IF(B218&lt;'Умови та класичний графік'!$J$14,XIRR($G$35:G219,$C$35:C219,0),"")</f>
        <v>0.39640249511718761</v>
      </c>
      <c r="X219" s="42"/>
      <c r="Y219" s="35"/>
    </row>
    <row r="220" spans="2:25" x14ac:dyDescent="0.2">
      <c r="B220" s="25">
        <v>185</v>
      </c>
      <c r="C220" s="36">
        <f>IF(B219&lt;'Умови та класичний графік'!$J$14,EDATE(C219,1),"")</f>
        <v>49827</v>
      </c>
      <c r="D220" s="36">
        <f>IF(B219&lt;'Умови та класичний графік'!$J$14,C219,"")</f>
        <v>49796</v>
      </c>
      <c r="E220" s="26">
        <f>IF(B219&lt;'Умови та класичний графік'!$J$14,C220-1,"")</f>
        <v>49826</v>
      </c>
      <c r="F220" s="37">
        <f>IF(B219&lt;'Умови та класичний графік'!$J$14,E220-D220+1,"")</f>
        <v>31</v>
      </c>
      <c r="G220" s="144">
        <f>IF(B219&lt;'Умови та класичний графік'!$J$14,-(SUM(J220:L220)),"")</f>
        <v>189697.00607135333</v>
      </c>
      <c r="H220" s="144"/>
      <c r="I220" s="32">
        <f>IF(B219&lt;'Умови та класичний графік'!$J$14,I219+J220,"")</f>
        <v>6475173.0957452338</v>
      </c>
      <c r="J220" s="32">
        <f>IF(B219&lt;'Умови та класичний графік'!$J$14,PPMT($J$21/12,B220,$J$12,$J$11,0,0),"")</f>
        <v>-67030.685179023538</v>
      </c>
      <c r="K220" s="32">
        <f>IF(B219&lt;'Умови та класичний графік'!$J$14,IPMT($J$21/12,B220,$J$12,$J$11,0,0),"")</f>
        <v>-122666.32089232979</v>
      </c>
      <c r="L220" s="30">
        <f>IF(B219&lt;'Умови та класичний графік'!$J$14,-(SUM(M220:V220)),"")</f>
        <v>0</v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>
        <f>IF(B219&lt;'Умови та класичний графік'!$J$14,XIRR($G$35:G220,$C$35:C220,0),"")</f>
        <v>0.39646764160156256</v>
      </c>
      <c r="X220" s="42"/>
      <c r="Y220" s="35"/>
    </row>
    <row r="221" spans="2:25" x14ac:dyDescent="0.2">
      <c r="B221" s="25">
        <v>186</v>
      </c>
      <c r="C221" s="36">
        <f>IF(B220&lt;'Умови та класичний графік'!$J$14,EDATE(C220,1),"")</f>
        <v>49857</v>
      </c>
      <c r="D221" s="36">
        <f>IF(B220&lt;'Умови та класичний графік'!$J$14,C220,"")</f>
        <v>49827</v>
      </c>
      <c r="E221" s="26">
        <f>IF(B220&lt;'Умови та класичний графік'!$J$14,C221-1,"")</f>
        <v>49856</v>
      </c>
      <c r="F221" s="37">
        <f>IF(B220&lt;'Умови та класичний графік'!$J$14,E221-D221+1,"")</f>
        <v>30</v>
      </c>
      <c r="G221" s="144">
        <f>IF(B220&lt;'Умови та класичний графік'!$J$14,-(SUM(J221:L221)),"")</f>
        <v>189697.00607135333</v>
      </c>
      <c r="H221" s="144"/>
      <c r="I221" s="32">
        <f>IF(B220&lt;'Умови та класичний графік'!$J$14,I220+J221,"")</f>
        <v>6406885.5852191038</v>
      </c>
      <c r="J221" s="32">
        <f>IF(B220&lt;'Умови та класичний графік'!$J$14,PPMT($J$21/12,B221,$J$12,$J$11,0,0),"")</f>
        <v>-68287.510526130209</v>
      </c>
      <c r="K221" s="32">
        <f>IF(B220&lt;'Умови та класичний графік'!$J$14,IPMT($J$21/12,B221,$J$12,$J$11,0,0),"")</f>
        <v>-121409.49554522311</v>
      </c>
      <c r="L221" s="30">
        <f>IF(B220&lt;'Умови та класичний графік'!$J$14,-(SUM(M221:V221)),"")</f>
        <v>0</v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>
        <f>IF(B220&lt;'Умови та класичний графік'!$J$14,XIRR($G$35:G221,$C$35:C221,0),"")</f>
        <v>0.3965309423828125</v>
      </c>
      <c r="X221" s="42"/>
      <c r="Y221" s="35"/>
    </row>
    <row r="222" spans="2:25" x14ac:dyDescent="0.2">
      <c r="B222" s="25">
        <v>187</v>
      </c>
      <c r="C222" s="36">
        <f>IF(B221&lt;'Умови та класичний графік'!$J$14,EDATE(C221,1),"")</f>
        <v>49888</v>
      </c>
      <c r="D222" s="36">
        <f>IF(B221&lt;'Умови та класичний графік'!$J$14,C221,"")</f>
        <v>49857</v>
      </c>
      <c r="E222" s="26">
        <f>IF(B221&lt;'Умови та класичний графік'!$J$14,C222-1,"")</f>
        <v>49887</v>
      </c>
      <c r="F222" s="37">
        <f>IF(B221&lt;'Умови та класичний графік'!$J$14,E222-D222+1,"")</f>
        <v>31</v>
      </c>
      <c r="G222" s="144">
        <f>IF(B221&lt;'Умови та класичний графік'!$J$14,-(SUM(J222:L222)),"")</f>
        <v>189697.00607135333</v>
      </c>
      <c r="H222" s="144"/>
      <c r="I222" s="32">
        <f>IF(B221&lt;'Умови та класичний графік'!$J$14,I221+J222,"")</f>
        <v>6337317.6838706089</v>
      </c>
      <c r="J222" s="32">
        <f>IF(B221&lt;'Умови та класичний графік'!$J$14,PPMT($J$21/12,B222,$J$12,$J$11,0,0),"")</f>
        <v>-69567.901348495157</v>
      </c>
      <c r="K222" s="32">
        <f>IF(B221&lt;'Умови та класичний графік'!$J$14,IPMT($J$21/12,B222,$J$12,$J$11,0,0),"")</f>
        <v>-120129.10472285817</v>
      </c>
      <c r="L222" s="30">
        <f>IF(B221&lt;'Умови та класичний графік'!$J$14,-(SUM(M222:V222)),"")</f>
        <v>0</v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>
        <f>IF(B221&lt;'Умови та класичний графік'!$J$14,XIRR($G$35:G222,$C$35:C222,0),"")</f>
        <v>0.3965924169921875</v>
      </c>
      <c r="X222" s="42"/>
      <c r="Y222" s="35"/>
    </row>
    <row r="223" spans="2:25" x14ac:dyDescent="0.2">
      <c r="B223" s="25">
        <v>188</v>
      </c>
      <c r="C223" s="36">
        <f>IF(B222&lt;'Умови та класичний графік'!$J$14,EDATE(C222,1),"")</f>
        <v>49919</v>
      </c>
      <c r="D223" s="36">
        <f>IF(B222&lt;'Умови та класичний графік'!$J$14,C222,"")</f>
        <v>49888</v>
      </c>
      <c r="E223" s="26">
        <f>IF(B222&lt;'Умови та класичний графік'!$J$14,C223-1,"")</f>
        <v>49918</v>
      </c>
      <c r="F223" s="37">
        <f>IF(B222&lt;'Умови та класичний графік'!$J$14,E223-D223+1,"")</f>
        <v>31</v>
      </c>
      <c r="G223" s="144">
        <f>IF(B222&lt;'Умови та класичний графік'!$J$14,-(SUM(J223:L223)),"")</f>
        <v>189697.00607135333</v>
      </c>
      <c r="H223" s="144"/>
      <c r="I223" s="32">
        <f>IF(B222&lt;'Умови та класичний графік'!$J$14,I222+J223,"")</f>
        <v>6266445.3843718292</v>
      </c>
      <c r="J223" s="32">
        <f>IF(B222&lt;'Умови та класичний графік'!$J$14,PPMT($J$21/12,B223,$J$12,$J$11,0,0),"")</f>
        <v>-70872.299498779452</v>
      </c>
      <c r="K223" s="32">
        <f>IF(B222&lt;'Умови та класичний графік'!$J$14,IPMT($J$21/12,B223,$J$12,$J$11,0,0),"")</f>
        <v>-118824.70657257388</v>
      </c>
      <c r="L223" s="30">
        <f>IF(B222&lt;'Умови та класичний графік'!$J$14,-(SUM(M223:V223)),"")</f>
        <v>0</v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>
        <f>IF(B222&lt;'Умови та класичний графік'!$J$14,XIRR($G$35:G223,$C$35:C223,0),"")</f>
        <v>0.3966520947265626</v>
      </c>
      <c r="X223" s="42"/>
      <c r="Y223" s="35"/>
    </row>
    <row r="224" spans="2:25" x14ac:dyDescent="0.2">
      <c r="B224" s="25">
        <v>189</v>
      </c>
      <c r="C224" s="36">
        <f>IF(B223&lt;'Умови та класичний графік'!$J$14,EDATE(C223,1),"")</f>
        <v>49949</v>
      </c>
      <c r="D224" s="36">
        <f>IF(B223&lt;'Умови та класичний графік'!$J$14,C223,"")</f>
        <v>49919</v>
      </c>
      <c r="E224" s="26">
        <f>IF(B223&lt;'Умови та класичний графік'!$J$14,C224-1,"")</f>
        <v>49948</v>
      </c>
      <c r="F224" s="37">
        <f>IF(B223&lt;'Умови та класичний графік'!$J$14,E224-D224+1,"")</f>
        <v>30</v>
      </c>
      <c r="G224" s="144">
        <f>IF(B223&lt;'Умови та класичний графік'!$J$14,-(SUM(J224:L224)),"")</f>
        <v>189697.00607135333</v>
      </c>
      <c r="H224" s="144"/>
      <c r="I224" s="32">
        <f>IF(B223&lt;'Умови та класичний графік'!$J$14,I223+J224,"")</f>
        <v>6194244.2292574476</v>
      </c>
      <c r="J224" s="32">
        <f>IF(B223&lt;'Умови та класичний графік'!$J$14,PPMT($J$21/12,B224,$J$12,$J$11,0,0),"")</f>
        <v>-72201.15511438156</v>
      </c>
      <c r="K224" s="32">
        <f>IF(B223&lt;'Умови та класичний графік'!$J$14,IPMT($J$21/12,B224,$J$12,$J$11,0,0),"")</f>
        <v>-117495.85095697177</v>
      </c>
      <c r="L224" s="30">
        <f>IF(B223&lt;'Умови та класичний графік'!$J$14,-(SUM(M224:V224)),"")</f>
        <v>0</v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>
        <f>IF(B223&lt;'Умови та класичний графік'!$J$14,XIRR($G$35:G224,$C$35:C224,0),"")</f>
        <v>0.39671010253906258</v>
      </c>
      <c r="X224" s="42"/>
      <c r="Y224" s="35"/>
    </row>
    <row r="225" spans="2:25" x14ac:dyDescent="0.2">
      <c r="B225" s="25">
        <v>190</v>
      </c>
      <c r="C225" s="36">
        <f>IF(B224&lt;'Умови та класичний графік'!$J$14,EDATE(C224,1),"")</f>
        <v>49980</v>
      </c>
      <c r="D225" s="36">
        <f>IF(B224&lt;'Умови та класичний графік'!$J$14,C224,"")</f>
        <v>49949</v>
      </c>
      <c r="E225" s="26">
        <f>IF(B224&lt;'Умови та класичний графік'!$J$14,C225-1,"")</f>
        <v>49979</v>
      </c>
      <c r="F225" s="37">
        <f>IF(B224&lt;'Умови та класичний графік'!$J$14,E225-D225+1,"")</f>
        <v>31</v>
      </c>
      <c r="G225" s="144">
        <f>IF(B224&lt;'Умови та класичний графік'!$J$14,-(SUM(J225:L225)),"")</f>
        <v>189697.00607135333</v>
      </c>
      <c r="H225" s="144"/>
      <c r="I225" s="32">
        <f>IF(B224&lt;'Умови та класичний графік'!$J$14,I224+J225,"")</f>
        <v>6120689.3024846716</v>
      </c>
      <c r="J225" s="32">
        <f>IF(B224&lt;'Умови та класичний графік'!$J$14,PPMT($J$21/12,B225,$J$12,$J$11,0,0),"")</f>
        <v>-73554.926772776205</v>
      </c>
      <c r="K225" s="32">
        <f>IF(B224&lt;'Умови та класичний графік'!$J$14,IPMT($J$21/12,B225,$J$12,$J$11,0,0),"")</f>
        <v>-116142.07929857713</v>
      </c>
      <c r="L225" s="30">
        <f>IF(B224&lt;'Умови та класичний графік'!$J$14,-(SUM(M225:V225)),"")</f>
        <v>0</v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>
        <f>IF(B224&lt;'Умови та класичний графік'!$J$14,XIRR($G$35:G225,$C$35:C225,0),"")</f>
        <v>0.39676643066406259</v>
      </c>
      <c r="X225" s="42"/>
      <c r="Y225" s="35"/>
    </row>
    <row r="226" spans="2:25" x14ac:dyDescent="0.2">
      <c r="B226" s="25">
        <v>191</v>
      </c>
      <c r="C226" s="36">
        <f>IF(B225&lt;'Умови та класичний графік'!$J$14,EDATE(C225,1),"")</f>
        <v>50010</v>
      </c>
      <c r="D226" s="36">
        <f>IF(B225&lt;'Умови та класичний графік'!$J$14,C225,"")</f>
        <v>49980</v>
      </c>
      <c r="E226" s="26">
        <f>IF(B225&lt;'Умови та класичний графік'!$J$14,C226-1,"")</f>
        <v>50009</v>
      </c>
      <c r="F226" s="37">
        <f>IF(B225&lt;'Умови та класичний графік'!$J$14,E226-D226+1,"")</f>
        <v>30</v>
      </c>
      <c r="G226" s="144">
        <f>IF(B225&lt;'Умови та класичний графік'!$J$14,-(SUM(J226:L226)),"")</f>
        <v>189697.00607135336</v>
      </c>
      <c r="H226" s="144"/>
      <c r="I226" s="32">
        <f>IF(B225&lt;'Умови та класичний графік'!$J$14,I225+J226,"")</f>
        <v>6045755.2208349062</v>
      </c>
      <c r="J226" s="32">
        <f>IF(B225&lt;'Умови та класичний графік'!$J$14,PPMT($J$21/12,B226,$J$12,$J$11,0,0),"")</f>
        <v>-74934.081649765765</v>
      </c>
      <c r="K226" s="32">
        <f>IF(B225&lt;'Умови та класичний графік'!$J$14,IPMT($J$21/12,B226,$J$12,$J$11,0,0),"")</f>
        <v>-114762.9244215876</v>
      </c>
      <c r="L226" s="30">
        <f>IF(B225&lt;'Умови та класичний графік'!$J$14,-(SUM(M226:V226)),"")</f>
        <v>0</v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>
        <f>IF(B225&lt;'Умови та класичний графік'!$J$14,XIRR($G$35:G226,$C$35:C226,0),"")</f>
        <v>0.39682117675781259</v>
      </c>
      <c r="X226" s="42"/>
      <c r="Y226" s="35"/>
    </row>
    <row r="227" spans="2:25" x14ac:dyDescent="0.2">
      <c r="B227" s="25">
        <v>192</v>
      </c>
      <c r="C227" s="36">
        <f>IF(B226&lt;'Умови та класичний графік'!$J$14,EDATE(C226,1),"")</f>
        <v>50041</v>
      </c>
      <c r="D227" s="36">
        <f>IF(B226&lt;'Умови та класичний графік'!$J$14,C226,"")</f>
        <v>50010</v>
      </c>
      <c r="E227" s="26">
        <f>IF(B226&lt;'Умови та класичний графік'!$J$14,C227-1,"")</f>
        <v>50040</v>
      </c>
      <c r="F227" s="37">
        <f>IF(B226&lt;'Умови та класичний графік'!$J$14,E227-D227+1,"")</f>
        <v>31</v>
      </c>
      <c r="G227" s="144">
        <f>IF(B226&lt;'Умови та класичний графік'!$J$14,-(SUM(J227:L227)),"")</f>
        <v>633605.25444681593</v>
      </c>
      <c r="H227" s="144"/>
      <c r="I227" s="32">
        <f>IF(B226&lt;'Умови та класичний графік'!$J$14,I226+J227,"")</f>
        <v>5969416.1251542075</v>
      </c>
      <c r="J227" s="32">
        <f>IF(B226&lt;'Умови та класичний графік'!$J$14,PPMT($J$21/12,B227,$J$12,$J$11,0,0),"")</f>
        <v>-76339.095680698869</v>
      </c>
      <c r="K227" s="32">
        <f>IF(B226&lt;'Умови та класичний графік'!$J$14,IPMT($J$21/12,B227,$J$12,$J$11,0,0),"")</f>
        <v>-113357.91039065445</v>
      </c>
      <c r="L227" s="30">
        <f>IF(B226&lt;'Умови та класичний графік'!$J$14,-(SUM(M227:V227)),"")</f>
        <v>-443908.2483754626</v>
      </c>
      <c r="M227" s="38"/>
      <c r="N227" s="39"/>
      <c r="O227" s="39"/>
      <c r="P227" s="32"/>
      <c r="Q227" s="40"/>
      <c r="R227" s="40"/>
      <c r="S227" s="41"/>
      <c r="T227" s="41"/>
      <c r="U227" s="33">
        <f>IF(B226&lt;'Умови та класичний графік'!$J$14,('Умови та класичний графік'!$J$15*$N$19)+(I227*$N$20),"")</f>
        <v>443908.2483754626</v>
      </c>
      <c r="V227" s="41"/>
      <c r="W227" s="43">
        <f>IF(B226&lt;'Умови та класичний графік'!$J$14,XIRR($G$35:G227,$C$35:C227,0),"")</f>
        <v>0.39699854003906254</v>
      </c>
      <c r="X227" s="42"/>
      <c r="Y227" s="35"/>
    </row>
    <row r="228" spans="2:25" x14ac:dyDescent="0.2">
      <c r="B228" s="25">
        <v>193</v>
      </c>
      <c r="C228" s="36">
        <f>IF(B227&lt;'Умови та класичний графік'!$J$14,EDATE(C227,1),"")</f>
        <v>50072</v>
      </c>
      <c r="D228" s="36">
        <f>IF(B227&lt;'Умови та класичний графік'!$J$14,C227,"")</f>
        <v>50041</v>
      </c>
      <c r="E228" s="26">
        <f>IF(B227&lt;'Умови та класичний графік'!$J$14,C228-1,"")</f>
        <v>50071</v>
      </c>
      <c r="F228" s="37">
        <f>IF(B227&lt;'Умови та класичний графік'!$J$14,E228-D228+1,"")</f>
        <v>31</v>
      </c>
      <c r="G228" s="144">
        <f>IF(B227&lt;'Умови та класичний графік'!$J$14,-(SUM(J228:L228)),"")</f>
        <v>189697.00607135333</v>
      </c>
      <c r="H228" s="144"/>
      <c r="I228" s="32">
        <f>IF(B227&lt;'Умови та класичний графік'!$J$14,I227+J228,"")</f>
        <v>5891645.6714294953</v>
      </c>
      <c r="J228" s="32">
        <f>IF(B227&lt;'Умови та класичний графік'!$J$14,PPMT($J$21/12,B228,$J$12,$J$11,0,0),"")</f>
        <v>-77770.453724711973</v>
      </c>
      <c r="K228" s="32">
        <f>IF(B227&lt;'Умови та класичний графік'!$J$14,IPMT($J$21/12,B228,$J$12,$J$11,0,0),"")</f>
        <v>-111926.55234664137</v>
      </c>
      <c r="L228" s="30">
        <f>IF(B227&lt;'Умови та класичний графік'!$J$14,-(SUM(M228:V228)),"")</f>
        <v>0</v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>
        <f>IF(B227&lt;'Умови та класичний графік'!$J$14,XIRR($G$35:G228,$C$35:C228,0),"")</f>
        <v>0.39705005371093749</v>
      </c>
      <c r="X228" s="42"/>
      <c r="Y228" s="35"/>
    </row>
    <row r="229" spans="2:25" x14ac:dyDescent="0.2">
      <c r="B229" s="25">
        <v>194</v>
      </c>
      <c r="C229" s="36">
        <f>IF(B228&lt;'Умови та класичний графік'!$J$14,EDATE(C228,1),"")</f>
        <v>50100</v>
      </c>
      <c r="D229" s="36">
        <f>IF(B228&lt;'Умови та класичний графік'!$J$14,C228,"")</f>
        <v>50072</v>
      </c>
      <c r="E229" s="26">
        <f>IF(B228&lt;'Умови та класичний графік'!$J$14,C229-1,"")</f>
        <v>50099</v>
      </c>
      <c r="F229" s="37">
        <f>IF(B228&lt;'Умови та класичний графік'!$J$14,E229-D229+1,"")</f>
        <v>28</v>
      </c>
      <c r="G229" s="144">
        <f>IF(B228&lt;'Умови та класичний графік'!$J$14,-(SUM(J229:L229)),"")</f>
        <v>189697.00607135333</v>
      </c>
      <c r="H229" s="144"/>
      <c r="I229" s="32">
        <f>IF(B228&lt;'Умови та класичний графік'!$J$14,I228+J229,"")</f>
        <v>5812417.0216974448</v>
      </c>
      <c r="J229" s="32">
        <f>IF(B228&lt;'Умови та класичний графік'!$J$14,PPMT($J$21/12,B229,$J$12,$J$11,0,0),"")</f>
        <v>-79228.64973205034</v>
      </c>
      <c r="K229" s="32">
        <f>IF(B228&lt;'Умови та класичний графік'!$J$14,IPMT($J$21/12,B229,$J$12,$J$11,0,0),"")</f>
        <v>-110468.35633930301</v>
      </c>
      <c r="L229" s="30">
        <f>IF(B228&lt;'Умови та класичний графік'!$J$14,-(SUM(M229:V229)),"")</f>
        <v>0</v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>
        <f>IF(B228&lt;'Умови та класичний графік'!$J$14,XIRR($G$35:G229,$C$35:C229,0),"")</f>
        <v>0.39710020996093742</v>
      </c>
      <c r="X229" s="42"/>
      <c r="Y229" s="35"/>
    </row>
    <row r="230" spans="2:25" x14ac:dyDescent="0.2">
      <c r="B230" s="25">
        <v>195</v>
      </c>
      <c r="C230" s="36">
        <f>IF(B229&lt;'Умови та класичний графік'!$J$14,EDATE(C229,1),"")</f>
        <v>50131</v>
      </c>
      <c r="D230" s="36">
        <f>IF(B229&lt;'Умови та класичний графік'!$J$14,C229,"")</f>
        <v>50100</v>
      </c>
      <c r="E230" s="26">
        <f>IF(B229&lt;'Умови та класичний графік'!$J$14,C230-1,"")</f>
        <v>50130</v>
      </c>
      <c r="F230" s="37">
        <f>IF(B229&lt;'Умови та класичний графік'!$J$14,E230-D230+1,"")</f>
        <v>31</v>
      </c>
      <c r="G230" s="144">
        <f>IF(B229&lt;'Умови та класичний графік'!$J$14,-(SUM(J230:L230)),"")</f>
        <v>189697.00607135333</v>
      </c>
      <c r="H230" s="144"/>
      <c r="I230" s="32">
        <f>IF(B229&lt;'Умови та класичний графік'!$J$14,I229+J230,"")</f>
        <v>5731702.8347829189</v>
      </c>
      <c r="J230" s="32">
        <f>IF(B229&lt;'Умови та класичний графік'!$J$14,PPMT($J$21/12,B230,$J$12,$J$11,0,0),"")</f>
        <v>-80714.186914526261</v>
      </c>
      <c r="K230" s="32">
        <f>IF(B229&lt;'Умови та класичний графік'!$J$14,IPMT($J$21/12,B230,$J$12,$J$11,0,0),"")</f>
        <v>-108982.81915682706</v>
      </c>
      <c r="L230" s="30">
        <f>IF(B229&lt;'Умови та класичний графік'!$J$14,-(SUM(M230:V230)),"")</f>
        <v>0</v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>
        <f>IF(B229&lt;'Умови та класичний графік'!$J$14,XIRR($G$35:G230,$C$35:C230,0),"")</f>
        <v>0.39714891113281248</v>
      </c>
      <c r="X230" s="42"/>
      <c r="Y230" s="35"/>
    </row>
    <row r="231" spans="2:25" x14ac:dyDescent="0.2">
      <c r="B231" s="25">
        <v>196</v>
      </c>
      <c r="C231" s="36">
        <f>IF(B230&lt;'Умови та класичний графік'!$J$14,EDATE(C230,1),"")</f>
        <v>50161</v>
      </c>
      <c r="D231" s="36">
        <f>IF(B230&lt;'Умови та класичний графік'!$J$14,C230,"")</f>
        <v>50131</v>
      </c>
      <c r="E231" s="26">
        <f>IF(B230&lt;'Умови та класичний графік'!$J$14,C231-1,"")</f>
        <v>50160</v>
      </c>
      <c r="F231" s="37">
        <f>IF(B230&lt;'Умови та класичний графік'!$J$14,E231-D231+1,"")</f>
        <v>30</v>
      </c>
      <c r="G231" s="144">
        <f>IF(B230&lt;'Умови та класичний графік'!$J$14,-(SUM(J231:L231)),"")</f>
        <v>189697.00607135336</v>
      </c>
      <c r="H231" s="144"/>
      <c r="I231" s="32">
        <f>IF(B230&lt;'Умови та класичний графік'!$J$14,I230+J231,"")</f>
        <v>5649475.2568637449</v>
      </c>
      <c r="J231" s="32">
        <f>IF(B230&lt;'Умови та класичний графік'!$J$14,PPMT($J$21/12,B231,$J$12,$J$11,0,0),"")</f>
        <v>-82227.577919173651</v>
      </c>
      <c r="K231" s="32">
        <f>IF(B230&lt;'Умови та класичний графік'!$J$14,IPMT($J$21/12,B231,$J$12,$J$11,0,0),"")</f>
        <v>-107469.42815217971</v>
      </c>
      <c r="L231" s="30">
        <f>IF(B230&lt;'Умови та класичний графік'!$J$14,-(SUM(M231:V231)),"")</f>
        <v>0</v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>
        <f>IF(B230&lt;'Умови та класичний графік'!$J$14,XIRR($G$35:G231,$C$35:C231,0),"")</f>
        <v>0.39719625488281252</v>
      </c>
      <c r="X231" s="42"/>
      <c r="Y231" s="35"/>
    </row>
    <row r="232" spans="2:25" x14ac:dyDescent="0.2">
      <c r="B232" s="25">
        <v>197</v>
      </c>
      <c r="C232" s="36">
        <f>IF(B231&lt;'Умови та класичний графік'!$J$14,EDATE(C231,1),"")</f>
        <v>50192</v>
      </c>
      <c r="D232" s="36">
        <f>IF(B231&lt;'Умови та класичний графік'!$J$14,C231,"")</f>
        <v>50161</v>
      </c>
      <c r="E232" s="26">
        <f>IF(B231&lt;'Умови та класичний графік'!$J$14,C232-1,"")</f>
        <v>50191</v>
      </c>
      <c r="F232" s="37">
        <f>IF(B231&lt;'Умови та класичний графік'!$J$14,E232-D232+1,"")</f>
        <v>31</v>
      </c>
      <c r="G232" s="144">
        <f>IF(B231&lt;'Умови та класичний графік'!$J$14,-(SUM(J232:L232)),"")</f>
        <v>189697.00607135333</v>
      </c>
      <c r="H232" s="144"/>
      <c r="I232" s="32">
        <f>IF(B231&lt;'Умови та класичний графік'!$J$14,I231+J232,"")</f>
        <v>5565705.9118585866</v>
      </c>
      <c r="J232" s="32">
        <f>IF(B231&lt;'Умови та класичний графік'!$J$14,PPMT($J$21/12,B232,$J$12,$J$11,0,0),"")</f>
        <v>-83769.345005158146</v>
      </c>
      <c r="K232" s="32">
        <f>IF(B231&lt;'Умови та класичний графік'!$J$14,IPMT($J$21/12,B232,$J$12,$J$11,0,0),"")</f>
        <v>-105927.66106619519</v>
      </c>
      <c r="L232" s="30">
        <f>IF(B231&lt;'Умови та класичний графік'!$J$14,-(SUM(M232:V232)),"")</f>
        <v>0</v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>
        <f>IF(B231&lt;'Умови та класичний графік'!$J$14,XIRR($G$35:G232,$C$35:C232,0),"")</f>
        <v>0.39724223144531257</v>
      </c>
      <c r="X232" s="42"/>
      <c r="Y232" s="35"/>
    </row>
    <row r="233" spans="2:25" x14ac:dyDescent="0.2">
      <c r="B233" s="25">
        <v>198</v>
      </c>
      <c r="C233" s="36">
        <f>IF(B232&lt;'Умови та класичний графік'!$J$14,EDATE(C232,1),"")</f>
        <v>50222</v>
      </c>
      <c r="D233" s="36">
        <f>IF(B232&lt;'Умови та класичний графік'!$J$14,C232,"")</f>
        <v>50192</v>
      </c>
      <c r="E233" s="26">
        <f>IF(B232&lt;'Умови та класичний графік'!$J$14,C233-1,"")</f>
        <v>50221</v>
      </c>
      <c r="F233" s="37">
        <f>IF(B232&lt;'Умови та класичний графік'!$J$14,E233-D233+1,"")</f>
        <v>30</v>
      </c>
      <c r="G233" s="144">
        <f>IF(B232&lt;'Умови та класичний графік'!$J$14,-(SUM(J233:L233)),"")</f>
        <v>189697.00607135333</v>
      </c>
      <c r="H233" s="144"/>
      <c r="I233" s="32">
        <f>IF(B232&lt;'Умови та класичний графік'!$J$14,I232+J233,"")</f>
        <v>5480365.8916345816</v>
      </c>
      <c r="J233" s="32">
        <f>IF(B232&lt;'Умови та класичний графік'!$J$14,PPMT($J$21/12,B233,$J$12,$J$11,0,0),"")</f>
        <v>-85340.020224004853</v>
      </c>
      <c r="K233" s="32">
        <f>IF(B232&lt;'Умови та класичний графік'!$J$14,IPMT($J$21/12,B233,$J$12,$J$11,0,0),"")</f>
        <v>-104356.98584734848</v>
      </c>
      <c r="L233" s="30">
        <f>IF(B232&lt;'Умови та класичний графік'!$J$14,-(SUM(M233:V233)),"")</f>
        <v>0</v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>
        <f>IF(B232&lt;'Умови та класичний графік'!$J$14,XIRR($G$35:G233,$C$35:C233,0),"")</f>
        <v>0.39728692871093751</v>
      </c>
      <c r="X233" s="42"/>
      <c r="Y233" s="35"/>
    </row>
    <row r="234" spans="2:25" x14ac:dyDescent="0.2">
      <c r="B234" s="25">
        <v>199</v>
      </c>
      <c r="C234" s="36">
        <f>IF(B233&lt;'Умови та класичний графік'!$J$14,EDATE(C233,1),"")</f>
        <v>50253</v>
      </c>
      <c r="D234" s="36">
        <f>IF(B233&lt;'Умови та класичний графік'!$J$14,C233,"")</f>
        <v>50222</v>
      </c>
      <c r="E234" s="26">
        <f>IF(B233&lt;'Умови та класичний графік'!$J$14,C234-1,"")</f>
        <v>50252</v>
      </c>
      <c r="F234" s="37">
        <f>IF(B233&lt;'Умови та класичний графік'!$J$14,E234-D234+1,"")</f>
        <v>31</v>
      </c>
      <c r="G234" s="144">
        <f>IF(B233&lt;'Умови та класичний графік'!$J$14,-(SUM(J234:L234)),"")</f>
        <v>189697.00607135333</v>
      </c>
      <c r="H234" s="144"/>
      <c r="I234" s="32">
        <f>IF(B233&lt;'Умови та класичний графік'!$J$14,I233+J234,"")</f>
        <v>5393425.7460313765</v>
      </c>
      <c r="J234" s="32">
        <f>IF(B233&lt;'Умови та класичний графік'!$J$14,PPMT($J$21/12,B234,$J$12,$J$11,0,0),"")</f>
        <v>-86940.145603204932</v>
      </c>
      <c r="K234" s="32">
        <f>IF(B233&lt;'Умови та класичний графік'!$J$14,IPMT($J$21/12,B234,$J$12,$J$11,0,0),"")</f>
        <v>-102756.8604681484</v>
      </c>
      <c r="L234" s="30">
        <f>IF(B233&lt;'Умови та класичний графік'!$J$14,-(SUM(M234:V234)),"")</f>
        <v>0</v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>
        <f>IF(B233&lt;'Умови та класичний графік'!$J$14,XIRR($G$35:G234,$C$35:C234,0),"")</f>
        <v>0.39733033691406261</v>
      </c>
      <c r="X234" s="42"/>
      <c r="Y234" s="35"/>
    </row>
    <row r="235" spans="2:25" x14ac:dyDescent="0.2">
      <c r="B235" s="25">
        <v>200</v>
      </c>
      <c r="C235" s="36">
        <f>IF(B234&lt;'Умови та класичний графік'!$J$14,EDATE(C234,1),"")</f>
        <v>50284</v>
      </c>
      <c r="D235" s="36">
        <f>IF(B234&lt;'Умови та класичний графік'!$J$14,C234,"")</f>
        <v>50253</v>
      </c>
      <c r="E235" s="26">
        <f>IF(B234&lt;'Умови та класичний графік'!$J$14,C235-1,"")</f>
        <v>50283</v>
      </c>
      <c r="F235" s="37">
        <f>IF(B234&lt;'Умови та класичний графік'!$J$14,E235-D235+1,"")</f>
        <v>31</v>
      </c>
      <c r="G235" s="144">
        <f>IF(B234&lt;'Умови та класичний графік'!$J$14,-(SUM(J235:L235)),"")</f>
        <v>189697.00607135333</v>
      </c>
      <c r="H235" s="144"/>
      <c r="I235" s="32">
        <f>IF(B234&lt;'Умови та класичний графік'!$J$14,I234+J235,"")</f>
        <v>5304855.4726981111</v>
      </c>
      <c r="J235" s="32">
        <f>IF(B234&lt;'Умови та класичний графік'!$J$14,PPMT($J$21/12,B235,$J$12,$J$11,0,0),"")</f>
        <v>-88570.273333265053</v>
      </c>
      <c r="K235" s="32">
        <f>IF(B234&lt;'Умови та класичний графік'!$J$14,IPMT($J$21/12,B235,$J$12,$J$11,0,0),"")</f>
        <v>-101126.73273808829</v>
      </c>
      <c r="L235" s="30">
        <f>IF(B234&lt;'Умови та класичний графік'!$J$14,-(SUM(M235:V235)),"")</f>
        <v>0</v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>
        <f>IF(B234&lt;'Умови та класичний графік'!$J$14,XIRR($G$35:G235,$C$35:C235,0),"")</f>
        <v>0.39737248535156255</v>
      </c>
      <c r="X235" s="42"/>
      <c r="Y235" s="35"/>
    </row>
    <row r="236" spans="2:25" x14ac:dyDescent="0.2">
      <c r="B236" s="25">
        <v>201</v>
      </c>
      <c r="C236" s="36">
        <f>IF(B235&lt;'Умови та класичний графік'!$J$14,EDATE(C235,1),"")</f>
        <v>50314</v>
      </c>
      <c r="D236" s="36">
        <f>IF(B235&lt;'Умови та класичний графік'!$J$14,C235,"")</f>
        <v>50284</v>
      </c>
      <c r="E236" s="26">
        <f>IF(B235&lt;'Умови та класичний графік'!$J$14,C236-1,"")</f>
        <v>50313</v>
      </c>
      <c r="F236" s="37">
        <f>IF(B235&lt;'Умови та класичний графік'!$J$14,E236-D236+1,"")</f>
        <v>30</v>
      </c>
      <c r="G236" s="144">
        <f>IF(B235&lt;'Умови та класичний графік'!$J$14,-(SUM(J236:L236)),"")</f>
        <v>189697.00607135333</v>
      </c>
      <c r="H236" s="144"/>
      <c r="I236" s="32">
        <f>IF(B235&lt;'Умови та класичний графік'!$J$14,I235+J236,"")</f>
        <v>5214624.5067398474</v>
      </c>
      <c r="J236" s="32">
        <f>IF(B235&lt;'Умови та класичний графік'!$J$14,PPMT($J$21/12,B236,$J$12,$J$11,0,0),"")</f>
        <v>-90230.965958263754</v>
      </c>
      <c r="K236" s="32">
        <f>IF(B235&lt;'Умови та класичний графік'!$J$14,IPMT($J$21/12,B236,$J$12,$J$11,0,0),"")</f>
        <v>-99466.040113089577</v>
      </c>
      <c r="L236" s="30">
        <f>IF(B235&lt;'Умови та класичний графік'!$J$14,-(SUM(M236:V236)),"")</f>
        <v>0</v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>
        <f>IF(B235&lt;'Умови та класичний графік'!$J$14,XIRR($G$35:G236,$C$35:C236,0),"")</f>
        <v>0.39741346191406257</v>
      </c>
      <c r="X236" s="42"/>
      <c r="Y236" s="35"/>
    </row>
    <row r="237" spans="2:25" x14ac:dyDescent="0.2">
      <c r="B237" s="25">
        <v>202</v>
      </c>
      <c r="C237" s="36">
        <f>IF(B236&lt;'Умови та класичний графік'!$J$14,EDATE(C236,1),"")</f>
        <v>50345</v>
      </c>
      <c r="D237" s="36">
        <f>IF(B236&lt;'Умови та класичний графік'!$J$14,C236,"")</f>
        <v>50314</v>
      </c>
      <c r="E237" s="26">
        <f>IF(B236&lt;'Умови та класичний графік'!$J$14,C237-1,"")</f>
        <v>50344</v>
      </c>
      <c r="F237" s="37">
        <f>IF(B236&lt;'Умови та класичний графік'!$J$14,E237-D237+1,"")</f>
        <v>31</v>
      </c>
      <c r="G237" s="144">
        <f>IF(B236&lt;'Умови та класичний графік'!$J$14,-(SUM(J237:L237)),"")</f>
        <v>189697.00607135333</v>
      </c>
      <c r="H237" s="144"/>
      <c r="I237" s="32">
        <f>IF(B236&lt;'Умови та класичний графік'!$J$14,I236+J237,"")</f>
        <v>5122701.7101698657</v>
      </c>
      <c r="J237" s="32">
        <f>IF(B236&lt;'Умови та класичний графік'!$J$14,PPMT($J$21/12,B237,$J$12,$J$11,0,0),"")</f>
        <v>-91922.796569981219</v>
      </c>
      <c r="K237" s="32">
        <f>IF(B236&lt;'Умови та класичний графік'!$J$14,IPMT($J$21/12,B237,$J$12,$J$11,0,0),"")</f>
        <v>-97774.209501372112</v>
      </c>
      <c r="L237" s="30">
        <f>IF(B236&lt;'Умови та класичний графік'!$J$14,-(SUM(M237:V237)),"")</f>
        <v>0</v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>
        <f>IF(B236&lt;'Умови та класичний графік'!$J$14,XIRR($G$35:G237,$C$35:C237,0),"")</f>
        <v>0.39745326660156244</v>
      </c>
      <c r="X237" s="42"/>
      <c r="Y237" s="35"/>
    </row>
    <row r="238" spans="2:25" x14ac:dyDescent="0.2">
      <c r="B238" s="25">
        <v>203</v>
      </c>
      <c r="C238" s="36">
        <f>IF(B237&lt;'Умови та класичний графік'!$J$14,EDATE(C237,1),"")</f>
        <v>50375</v>
      </c>
      <c r="D238" s="36">
        <f>IF(B237&lt;'Умови та класичний графік'!$J$14,C237,"")</f>
        <v>50345</v>
      </c>
      <c r="E238" s="26">
        <f>IF(B237&lt;'Умови та класичний графік'!$J$14,C238-1,"")</f>
        <v>50374</v>
      </c>
      <c r="F238" s="37">
        <f>IF(B237&lt;'Умови та класичний графік'!$J$14,E238-D238+1,"")</f>
        <v>30</v>
      </c>
      <c r="G238" s="144">
        <f>IF(B237&lt;'Умови та класичний графік'!$J$14,-(SUM(J238:L238)),"")</f>
        <v>189697.00607135333</v>
      </c>
      <c r="H238" s="144"/>
      <c r="I238" s="32">
        <f>IF(B237&lt;'Умови та класичний графік'!$J$14,I237+J238,"")</f>
        <v>5029055.3611641973</v>
      </c>
      <c r="J238" s="32">
        <f>IF(B237&lt;'Умови та класичний графік'!$J$14,PPMT($J$21/12,B238,$J$12,$J$11,0,0),"")</f>
        <v>-93646.349005668351</v>
      </c>
      <c r="K238" s="32">
        <f>IF(B237&lt;'Умови та класичний графік'!$J$14,IPMT($J$21/12,B238,$J$12,$J$11,0,0),"")</f>
        <v>-96050.65706568498</v>
      </c>
      <c r="L238" s="30">
        <f>IF(B237&lt;'Умови та класичний графік'!$J$14,-(SUM(M238:V238)),"")</f>
        <v>0</v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>
        <f>IF(B237&lt;'Умови та класичний графік'!$J$14,XIRR($G$35:G238,$C$35:C238,0),"")</f>
        <v>0.39749195800781256</v>
      </c>
      <c r="X238" s="42"/>
      <c r="Y238" s="35"/>
    </row>
    <row r="239" spans="2:25" x14ac:dyDescent="0.2">
      <c r="B239" s="25">
        <v>204</v>
      </c>
      <c r="C239" s="36">
        <f>IF(B238&lt;'Умови та класичний графік'!$J$14,EDATE(C238,1),"")</f>
        <v>50406</v>
      </c>
      <c r="D239" s="36">
        <f>IF(B238&lt;'Умови та класичний графік'!$J$14,C238,"")</f>
        <v>50375</v>
      </c>
      <c r="E239" s="26">
        <f>IF(B238&lt;'Умови та класичний графік'!$J$14,C239-1,"")</f>
        <v>50405</v>
      </c>
      <c r="F239" s="37">
        <f>IF(B238&lt;'Умови та класичний графік'!$J$14,E239-D239+1,"")</f>
        <v>31</v>
      </c>
      <c r="G239" s="144">
        <f>IF(B238&lt;'Умови та класичний графік'!$J$14,-(SUM(J239:L239)),"")</f>
        <v>630497.96550069738</v>
      </c>
      <c r="H239" s="144"/>
      <c r="I239" s="32">
        <f>IF(B238&lt;'Умови та класичний графік'!$J$14,I238+J239,"")</f>
        <v>4933653.143114673</v>
      </c>
      <c r="J239" s="32">
        <f>IF(B238&lt;'Умови та класичний графік'!$J$14,PPMT($J$21/12,B239,$J$12,$J$11,0,0),"")</f>
        <v>-95402.218049524643</v>
      </c>
      <c r="K239" s="32">
        <f>IF(B238&lt;'Умови та класичний графік'!$J$14,IPMT($J$21/12,B239,$J$12,$J$11,0,0),"")</f>
        <v>-94294.788021828703</v>
      </c>
      <c r="L239" s="30">
        <f>IF(B238&lt;'Умови та класичний графік'!$J$14,-(SUM(M239:V239)),"")</f>
        <v>-440800.95942934405</v>
      </c>
      <c r="M239" s="38"/>
      <c r="N239" s="39"/>
      <c r="O239" s="39"/>
      <c r="P239" s="32"/>
      <c r="Q239" s="40"/>
      <c r="R239" s="40"/>
      <c r="S239" s="41"/>
      <c r="T239" s="41"/>
      <c r="U239" s="33">
        <f>IF(B238&lt;'Умови та класичний графік'!$J$14,('Умови та класичний графік'!$J$15*$N$19)+(I239*$N$20),"")</f>
        <v>440800.95942934405</v>
      </c>
      <c r="V239" s="41"/>
      <c r="W239" s="43">
        <f>IF(B238&lt;'Умови та класичний графік'!$J$14,XIRR($G$35:G239,$C$35:C239,0),"")</f>
        <v>0.39761674316406248</v>
      </c>
      <c r="X239" s="42"/>
      <c r="Y239" s="35"/>
    </row>
    <row r="240" spans="2:25" x14ac:dyDescent="0.2">
      <c r="B240" s="25">
        <v>205</v>
      </c>
      <c r="C240" s="36">
        <f>IF(B239&lt;'Умови та класичний графік'!$J$14,EDATE(C239,1),"")</f>
        <v>50437</v>
      </c>
      <c r="D240" s="36">
        <f>IF(B239&lt;'Умови та класичний графік'!$J$14,C239,"")</f>
        <v>50406</v>
      </c>
      <c r="E240" s="26">
        <f>IF(B239&lt;'Умови та класичний графік'!$J$14,C240-1,"")</f>
        <v>50436</v>
      </c>
      <c r="F240" s="37">
        <f>IF(B239&lt;'Умови та класичний графік'!$J$14,E240-D240+1,"")</f>
        <v>31</v>
      </c>
      <c r="G240" s="144">
        <f>IF(B239&lt;'Умови та класичний графік'!$J$14,-(SUM(J240:L240)),"")</f>
        <v>189697.00607135333</v>
      </c>
      <c r="H240" s="144"/>
      <c r="I240" s="32">
        <f>IF(B239&lt;'Умови та класичний графік'!$J$14,I239+J240,"")</f>
        <v>4836462.1334767202</v>
      </c>
      <c r="J240" s="32">
        <f>IF(B239&lt;'Умови та класичний графік'!$J$14,PPMT($J$21/12,B240,$J$12,$J$11,0,0),"")</f>
        <v>-97191.009637953219</v>
      </c>
      <c r="K240" s="32">
        <f>IF(B239&lt;'Умови та класичний графік'!$J$14,IPMT($J$21/12,B240,$J$12,$J$11,0,0),"")</f>
        <v>-92505.996433400127</v>
      </c>
      <c r="L240" s="30">
        <f>IF(B239&lt;'Умови та класичний графік'!$J$14,-(SUM(M240:V240)),"")</f>
        <v>0</v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>
        <f>IF(B239&lt;'Умови та класичний графік'!$J$14,XIRR($G$35:G240,$C$35:C240,0),"")</f>
        <v>0.39765317871093742</v>
      </c>
      <c r="X240" s="42"/>
      <c r="Y240" s="35"/>
    </row>
    <row r="241" spans="2:25" x14ac:dyDescent="0.2">
      <c r="B241" s="25">
        <v>206</v>
      </c>
      <c r="C241" s="36">
        <f>IF(B240&lt;'Умови та класичний графік'!$J$14,EDATE(C240,1),"")</f>
        <v>50465</v>
      </c>
      <c r="D241" s="36">
        <f>IF(B240&lt;'Умови та класичний графік'!$J$14,C240,"")</f>
        <v>50437</v>
      </c>
      <c r="E241" s="26">
        <f>IF(B240&lt;'Умови та класичний графік'!$J$14,C241-1,"")</f>
        <v>50464</v>
      </c>
      <c r="F241" s="37">
        <f>IF(B240&lt;'Умови та класичний графік'!$J$14,E241-D241+1,"")</f>
        <v>28</v>
      </c>
      <c r="G241" s="144">
        <f>IF(B240&lt;'Умови та класичний графік'!$J$14,-(SUM(J241:L241)),"")</f>
        <v>189697.00607135333</v>
      </c>
      <c r="H241" s="144"/>
      <c r="I241" s="32">
        <f>IF(B240&lt;'Умови та класичний графік'!$J$14,I240+J241,"")</f>
        <v>4737448.7924080556</v>
      </c>
      <c r="J241" s="32">
        <f>IF(B240&lt;'Умови та класичний графік'!$J$14,PPMT($J$21/12,B241,$J$12,$J$11,0,0),"")</f>
        <v>-99013.341068664857</v>
      </c>
      <c r="K241" s="32">
        <f>IF(B240&lt;'Умови та класичний графік'!$J$14,IPMT($J$21/12,B241,$J$12,$J$11,0,0),"")</f>
        <v>-90683.665002688489</v>
      </c>
      <c r="L241" s="30">
        <f>IF(B240&lt;'Умови та класичний графік'!$J$14,-(SUM(M241:V241)),"")</f>
        <v>0</v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>
        <f>IF(B240&lt;'Умови та класичний графік'!$J$14,XIRR($G$35:G241,$C$35:C241,0),"")</f>
        <v>0.39768866699218752</v>
      </c>
      <c r="X241" s="42"/>
      <c r="Y241" s="35"/>
    </row>
    <row r="242" spans="2:25" x14ac:dyDescent="0.2">
      <c r="B242" s="25">
        <v>207</v>
      </c>
      <c r="C242" s="36">
        <f>IF(B241&lt;'Умови та класичний графік'!$J$14,EDATE(C241,1),"")</f>
        <v>50496</v>
      </c>
      <c r="D242" s="36">
        <f>IF(B241&lt;'Умови та класичний графік'!$J$14,C241,"")</f>
        <v>50465</v>
      </c>
      <c r="E242" s="26">
        <f>IF(B241&lt;'Умови та класичний графік'!$J$14,C242-1,"")</f>
        <v>50495</v>
      </c>
      <c r="F242" s="37">
        <f>IF(B241&lt;'Умови та класичний графік'!$J$14,E242-D242+1,"")</f>
        <v>31</v>
      </c>
      <c r="G242" s="144">
        <f>IF(B241&lt;'Умови та класичний графік'!$J$14,-(SUM(J242:L242)),"")</f>
        <v>189697.00607135333</v>
      </c>
      <c r="H242" s="144"/>
      <c r="I242" s="32">
        <f>IF(B241&lt;'Умови та класичний графік'!$J$14,I241+J242,"")</f>
        <v>4636578.9511943534</v>
      </c>
      <c r="J242" s="32">
        <f>IF(B241&lt;'Умови та класичний графік'!$J$14,PPMT($J$21/12,B242,$J$12,$J$11,0,0),"")</f>
        <v>-100869.84121370231</v>
      </c>
      <c r="K242" s="32">
        <f>IF(B241&lt;'Умови та класичний графік'!$J$14,IPMT($J$21/12,B242,$J$12,$J$11,0,0),"")</f>
        <v>-88827.16485765102</v>
      </c>
      <c r="L242" s="30">
        <f>IF(B241&lt;'Умови та класичний графік'!$J$14,-(SUM(M242:V242)),"")</f>
        <v>0</v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>
        <f>IF(B241&lt;'Умови та класичний графік'!$J$14,XIRR($G$35:G242,$C$35:C242,0),"")</f>
        <v>0.39772312988281244</v>
      </c>
      <c r="X242" s="42"/>
      <c r="Y242" s="35"/>
    </row>
    <row r="243" spans="2:25" x14ac:dyDescent="0.2">
      <c r="B243" s="25">
        <v>208</v>
      </c>
      <c r="C243" s="36">
        <f>IF(B242&lt;'Умови та класичний графік'!$J$14,EDATE(C242,1),"")</f>
        <v>50526</v>
      </c>
      <c r="D243" s="36">
        <f>IF(B242&lt;'Умови та класичний графік'!$J$14,C242,"")</f>
        <v>50496</v>
      </c>
      <c r="E243" s="26">
        <f>IF(B242&lt;'Умови та класичний графік'!$J$14,C243-1,"")</f>
        <v>50525</v>
      </c>
      <c r="F243" s="37">
        <f>IF(B242&lt;'Умови та класичний графік'!$J$14,E243-D243+1,"")</f>
        <v>30</v>
      </c>
      <c r="G243" s="144">
        <f>IF(B242&lt;'Умови та класичний графік'!$J$14,-(SUM(J243:L243)),"")</f>
        <v>189697.00607135339</v>
      </c>
      <c r="H243" s="144"/>
      <c r="I243" s="32">
        <f>IF(B242&lt;'Умови та класичний графік'!$J$14,I242+J243,"")</f>
        <v>4533817.8004578939</v>
      </c>
      <c r="J243" s="32">
        <f>IF(B242&lt;'Умови та класичний графік'!$J$14,PPMT($J$21/12,B243,$J$12,$J$11,0,0),"")</f>
        <v>-102761.15073645925</v>
      </c>
      <c r="K243" s="32">
        <f>IF(B242&lt;'Умови та класичний графік'!$J$14,IPMT($J$21/12,B243,$J$12,$J$11,0,0),"")</f>
        <v>-86935.85533489412</v>
      </c>
      <c r="L243" s="30">
        <f>IF(B242&lt;'Умови та класичний графік'!$J$14,-(SUM(M243:V243)),"")</f>
        <v>0</v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>
        <f>IF(B242&lt;'Умови та класичний графік'!$J$14,XIRR($G$35:G243,$C$35:C243,0),"")</f>
        <v>0.39775663574218756</v>
      </c>
      <c r="X243" s="42"/>
      <c r="Y243" s="35"/>
    </row>
    <row r="244" spans="2:25" x14ac:dyDescent="0.2">
      <c r="B244" s="25">
        <v>209</v>
      </c>
      <c r="C244" s="36">
        <f>IF(B243&lt;'Умови та класичний графік'!$J$14,EDATE(C243,1),"")</f>
        <v>50557</v>
      </c>
      <c r="D244" s="36">
        <f>IF(B243&lt;'Умови та класичний графік'!$J$14,C243,"")</f>
        <v>50526</v>
      </c>
      <c r="E244" s="26">
        <f>IF(B243&lt;'Умови та класичний графік'!$J$14,C244-1,"")</f>
        <v>50556</v>
      </c>
      <c r="F244" s="37">
        <f>IF(B243&lt;'Умови та класичний графік'!$J$14,E244-D244+1,"")</f>
        <v>31</v>
      </c>
      <c r="G244" s="144">
        <f>IF(B243&lt;'Умови та класичний графік'!$J$14,-(SUM(J244:L244)),"")</f>
        <v>189697.00607135333</v>
      </c>
      <c r="H244" s="144"/>
      <c r="I244" s="32">
        <f>IF(B243&lt;'Умови та класичний графік'!$J$14,I243+J244,"")</f>
        <v>4429129.8781451257</v>
      </c>
      <c r="J244" s="32">
        <f>IF(B243&lt;'Умови та класичний графік'!$J$14,PPMT($J$21/12,B244,$J$12,$J$11,0,0),"")</f>
        <v>-104687.92231276783</v>
      </c>
      <c r="K244" s="32">
        <f>IF(B243&lt;'Умови та класичний графік'!$J$14,IPMT($J$21/12,B244,$J$12,$J$11,0,0),"")</f>
        <v>-85009.083758585504</v>
      </c>
      <c r="L244" s="30">
        <f>IF(B243&lt;'Умови та класичний графік'!$J$14,-(SUM(M244:V244)),"")</f>
        <v>0</v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>
        <f>IF(B243&lt;'Умови та класичний графік'!$J$14,XIRR($G$35:G244,$C$35:C244,0),"")</f>
        <v>0.39778918457031254</v>
      </c>
      <c r="X244" s="42"/>
      <c r="Y244" s="35"/>
    </row>
    <row r="245" spans="2:25" x14ac:dyDescent="0.2">
      <c r="B245" s="25">
        <v>210</v>
      </c>
      <c r="C245" s="36">
        <f>IF(B244&lt;'Умови та класичний графік'!$J$14,EDATE(C244,1),"")</f>
        <v>50587</v>
      </c>
      <c r="D245" s="36">
        <f>IF(B244&lt;'Умови та класичний графік'!$J$14,C244,"")</f>
        <v>50557</v>
      </c>
      <c r="E245" s="26">
        <f>IF(B244&lt;'Умови та класичний графік'!$J$14,C245-1,"")</f>
        <v>50586</v>
      </c>
      <c r="F245" s="37">
        <f>IF(B244&lt;'Умови та класичний графік'!$J$14,E245-D245+1,"")</f>
        <v>30</v>
      </c>
      <c r="G245" s="144">
        <f>IF(B244&lt;'Умови та класичний графік'!$J$14,-(SUM(J245:L245)),"")</f>
        <v>189697.00607135339</v>
      </c>
      <c r="H245" s="144"/>
      <c r="I245" s="32">
        <f>IF(B244&lt;'Умови та класичний графік'!$J$14,I244+J245,"")</f>
        <v>4322479.0572889931</v>
      </c>
      <c r="J245" s="32">
        <f>IF(B244&lt;'Умови та класичний графік'!$J$14,PPMT($J$21/12,B245,$J$12,$J$11,0,0),"")</f>
        <v>-106650.82085613225</v>
      </c>
      <c r="K245" s="32">
        <f>IF(B244&lt;'Умови та класичний графік'!$J$14,IPMT($J$21/12,B245,$J$12,$J$11,0,0),"")</f>
        <v>-83046.185215221121</v>
      </c>
      <c r="L245" s="30">
        <f>IF(B244&lt;'Умови та класичний графік'!$J$14,-(SUM(M245:V245)),"")</f>
        <v>0</v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>
        <f>IF(B244&lt;'Умови та класичний графік'!$J$14,XIRR($G$35:G245,$C$35:C245,0),"")</f>
        <v>0.39782083496093745</v>
      </c>
      <c r="X245" s="42"/>
      <c r="Y245" s="35"/>
    </row>
    <row r="246" spans="2:25" x14ac:dyDescent="0.2">
      <c r="B246" s="25">
        <v>211</v>
      </c>
      <c r="C246" s="36">
        <f>IF(B245&lt;'Умови та класичний графік'!$J$14,EDATE(C245,1),"")</f>
        <v>50618</v>
      </c>
      <c r="D246" s="36">
        <f>IF(B245&lt;'Умови та класичний графік'!$J$14,C245,"")</f>
        <v>50587</v>
      </c>
      <c r="E246" s="26">
        <f>IF(B245&lt;'Умови та класичний графік'!$J$14,C246-1,"")</f>
        <v>50617</v>
      </c>
      <c r="F246" s="37">
        <f>IF(B245&lt;'Умови та класичний графік'!$J$14,E246-D246+1,"")</f>
        <v>31</v>
      </c>
      <c r="G246" s="144">
        <f>IF(B245&lt;'Умови та класичний графік'!$J$14,-(SUM(J246:L246)),"")</f>
        <v>189697.00607135333</v>
      </c>
      <c r="H246" s="144"/>
      <c r="I246" s="32">
        <f>IF(B245&lt;'Умови та класичний графік'!$J$14,I245+J246,"")</f>
        <v>4213828.5335418088</v>
      </c>
      <c r="J246" s="32">
        <f>IF(B245&lt;'Умови та класичний графік'!$J$14,PPMT($J$21/12,B246,$J$12,$J$11,0,0),"")</f>
        <v>-108650.52374718472</v>
      </c>
      <c r="K246" s="32">
        <f>IF(B245&lt;'Умови та класичний графік'!$J$14,IPMT($J$21/12,B246,$J$12,$J$11,0,0),"")</f>
        <v>-81046.482324168624</v>
      </c>
      <c r="L246" s="30">
        <f>IF(B245&lt;'Умови та класичний графік'!$J$14,-(SUM(M246:V246)),"")</f>
        <v>0</v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>
        <f>IF(B245&lt;'Умови та класичний графік'!$J$14,XIRR($G$35:G246,$C$35:C246,0),"")</f>
        <v>0.39785156738281258</v>
      </c>
      <c r="X246" s="42"/>
      <c r="Y246" s="35"/>
    </row>
    <row r="247" spans="2:25" x14ac:dyDescent="0.2">
      <c r="B247" s="25">
        <v>212</v>
      </c>
      <c r="C247" s="36">
        <f>IF(B246&lt;'Умови та класичний графік'!$J$14,EDATE(C246,1),"")</f>
        <v>50649</v>
      </c>
      <c r="D247" s="36">
        <f>IF(B246&lt;'Умови та класичний графік'!$J$14,C246,"")</f>
        <v>50618</v>
      </c>
      <c r="E247" s="26">
        <f>IF(B246&lt;'Умови та класичний графік'!$J$14,C247-1,"")</f>
        <v>50648</v>
      </c>
      <c r="F247" s="37">
        <f>IF(B246&lt;'Умови та класичний графік'!$J$14,E247-D247+1,"")</f>
        <v>31</v>
      </c>
      <c r="G247" s="144">
        <f>IF(B246&lt;'Умови та класичний графік'!$J$14,-(SUM(J247:L247)),"")</f>
        <v>189697.00607135333</v>
      </c>
      <c r="H247" s="144"/>
      <c r="I247" s="32">
        <f>IF(B246&lt;'Умови та класичний графік'!$J$14,I246+J247,"")</f>
        <v>4103140.8124743644</v>
      </c>
      <c r="J247" s="32">
        <f>IF(B246&lt;'Умови та класичний графік'!$J$14,PPMT($J$21/12,B247,$J$12,$J$11,0,0),"")</f>
        <v>-110687.72106744442</v>
      </c>
      <c r="K247" s="32">
        <f>IF(B246&lt;'Умови та класичний графік'!$J$14,IPMT($J$21/12,B247,$J$12,$J$11,0,0),"")</f>
        <v>-79009.28500390891</v>
      </c>
      <c r="L247" s="30">
        <f>IF(B246&lt;'Умови та класичний графік'!$J$14,-(SUM(M247:V247)),"")</f>
        <v>0</v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>
        <f>IF(B246&lt;'Умови та класичний графік'!$J$14,XIRR($G$35:G247,$C$35:C247,0),"")</f>
        <v>0.39788142089843748</v>
      </c>
      <c r="X247" s="42"/>
      <c r="Y247" s="35"/>
    </row>
    <row r="248" spans="2:25" x14ac:dyDescent="0.2">
      <c r="B248" s="25">
        <v>213</v>
      </c>
      <c r="C248" s="36">
        <f>IF(B247&lt;'Умови та класичний графік'!$J$14,EDATE(C247,1),"")</f>
        <v>50679</v>
      </c>
      <c r="D248" s="36">
        <f>IF(B247&lt;'Умови та класичний графік'!$J$14,C247,"")</f>
        <v>50649</v>
      </c>
      <c r="E248" s="26">
        <f>IF(B247&lt;'Умови та класичний графік'!$J$14,C248-1,"")</f>
        <v>50678</v>
      </c>
      <c r="F248" s="37">
        <f>IF(B247&lt;'Умови та класичний графік'!$J$14,E248-D248+1,"")</f>
        <v>30</v>
      </c>
      <c r="G248" s="144">
        <f>IF(B247&lt;'Умови та класичний графік'!$J$14,-(SUM(J248:L248)),"")</f>
        <v>189697.00607135333</v>
      </c>
      <c r="H248" s="144"/>
      <c r="I248" s="32">
        <f>IF(B247&lt;'Умови та класичний графік'!$J$14,I247+J248,"")</f>
        <v>3990377.6966369054</v>
      </c>
      <c r="J248" s="32">
        <f>IF(B247&lt;'Умови та класичний графік'!$J$14,PPMT($J$21/12,B248,$J$12,$J$11,0,0),"")</f>
        <v>-112763.11583745903</v>
      </c>
      <c r="K248" s="32">
        <f>IF(B247&lt;'Умови та класичний графік'!$J$14,IPMT($J$21/12,B248,$J$12,$J$11,0,0),"")</f>
        <v>-76933.890233894315</v>
      </c>
      <c r="L248" s="30">
        <f>IF(B247&lt;'Умови та класичний графік'!$J$14,-(SUM(M248:V248)),"")</f>
        <v>0</v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>
        <f>IF(B247&lt;'Умови та класичний графік'!$J$14,XIRR($G$35:G248,$C$35:C248,0),"")</f>
        <v>0.39791045410156256</v>
      </c>
      <c r="X248" s="42"/>
      <c r="Y248" s="35"/>
    </row>
    <row r="249" spans="2:25" x14ac:dyDescent="0.2">
      <c r="B249" s="25">
        <v>214</v>
      </c>
      <c r="C249" s="36">
        <f>IF(B248&lt;'Умови та класичний графік'!$J$14,EDATE(C248,1),"")</f>
        <v>50710</v>
      </c>
      <c r="D249" s="36">
        <f>IF(B248&lt;'Умови та класичний графік'!$J$14,C248,"")</f>
        <v>50679</v>
      </c>
      <c r="E249" s="26">
        <f>IF(B248&lt;'Умови та класичний графік'!$J$14,C249-1,"")</f>
        <v>50709</v>
      </c>
      <c r="F249" s="37">
        <f>IF(B248&lt;'Умови та класичний графік'!$J$14,E249-D249+1,"")</f>
        <v>31</v>
      </c>
      <c r="G249" s="144">
        <f>IF(B248&lt;'Умови та класичний графік'!$J$14,-(SUM(J249:L249)),"")</f>
        <v>189697.00607135333</v>
      </c>
      <c r="H249" s="144"/>
      <c r="I249" s="32">
        <f>IF(B248&lt;'Умови та класичний графік'!$J$14,I248+J249,"")</f>
        <v>3875500.2723774943</v>
      </c>
      <c r="J249" s="32">
        <f>IF(B248&lt;'Умови та класичний графік'!$J$14,PPMT($J$21/12,B249,$J$12,$J$11,0,0),"")</f>
        <v>-114877.42425941137</v>
      </c>
      <c r="K249" s="32">
        <f>IF(B248&lt;'Умови та класичний графік'!$J$14,IPMT($J$21/12,B249,$J$12,$J$11,0,0),"")</f>
        <v>-74819.581811941956</v>
      </c>
      <c r="L249" s="30">
        <f>IF(B248&lt;'Умови та класичний графік'!$J$14,-(SUM(M249:V249)),"")</f>
        <v>0</v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>
        <f>IF(B248&lt;'Умови та класичний графік'!$J$14,XIRR($G$35:G249,$C$35:C249,0),"")</f>
        <v>0.39793864746093754</v>
      </c>
      <c r="X249" s="42"/>
      <c r="Y249" s="35"/>
    </row>
    <row r="250" spans="2:25" x14ac:dyDescent="0.2">
      <c r="B250" s="25">
        <v>215</v>
      </c>
      <c r="C250" s="36">
        <f>IF(B249&lt;'Умови та класичний графік'!$J$14,EDATE(C249,1),"")</f>
        <v>50740</v>
      </c>
      <c r="D250" s="36">
        <f>IF(B249&lt;'Умови та класичний графік'!$J$14,C249,"")</f>
        <v>50710</v>
      </c>
      <c r="E250" s="26">
        <f>IF(B249&lt;'Умови та класичний графік'!$J$14,C250-1,"")</f>
        <v>50739</v>
      </c>
      <c r="F250" s="37">
        <f>IF(B249&lt;'Умови та класичний графік'!$J$14,E250-D250+1,"")</f>
        <v>30</v>
      </c>
      <c r="G250" s="144">
        <f>IF(B249&lt;'Умови та класичний графік'!$J$14,-(SUM(J250:L250)),"")</f>
        <v>189697.00607135333</v>
      </c>
      <c r="H250" s="144"/>
      <c r="I250" s="32">
        <f>IF(B249&lt;'Умови та класичний графік'!$J$14,I249+J250,"")</f>
        <v>3758468.8964132187</v>
      </c>
      <c r="J250" s="32">
        <f>IF(B249&lt;'Умови та класичний графік'!$J$14,PPMT($J$21/12,B250,$J$12,$J$11,0,0),"")</f>
        <v>-117031.37596427534</v>
      </c>
      <c r="K250" s="32">
        <f>IF(B249&lt;'Умови та класичний графік'!$J$14,IPMT($J$21/12,B250,$J$12,$J$11,0,0),"")</f>
        <v>-72665.630107077988</v>
      </c>
      <c r="L250" s="30">
        <f>IF(B249&lt;'Умови та класичний графік'!$J$14,-(SUM(M250:V250)),"")</f>
        <v>0</v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>
        <f>IF(B249&lt;'Умови та класичний графік'!$J$14,XIRR($G$35:G250,$C$35:C250,0),"")</f>
        <v>0.3979660595703125</v>
      </c>
      <c r="X250" s="42"/>
      <c r="Y250" s="35"/>
    </row>
    <row r="251" spans="2:25" x14ac:dyDescent="0.2">
      <c r="B251" s="25">
        <v>216</v>
      </c>
      <c r="C251" s="36">
        <f>IF(B250&lt;'Умови та класичний графік'!$J$14,EDATE(C250,1),"")</f>
        <v>50771</v>
      </c>
      <c r="D251" s="36">
        <f>IF(B250&lt;'Умови та класичний графік'!$J$14,C250,"")</f>
        <v>50740</v>
      </c>
      <c r="E251" s="26">
        <f>IF(B250&lt;'Умови та класичний графік'!$J$14,C251-1,"")</f>
        <v>50770</v>
      </c>
      <c r="F251" s="37">
        <f>IF(B250&lt;'Умови та класичний графік'!$J$14,E251-D251+1,"")</f>
        <v>31</v>
      </c>
      <c r="G251" s="144">
        <f>IF(B250&lt;'Умови та класичний графік'!$J$14,-(SUM(J251:L251)),"")</f>
        <v>626614.73561780225</v>
      </c>
      <c r="H251" s="144"/>
      <c r="I251" s="32">
        <f>IF(B250&lt;'Умови та класичний графік'!$J$14,I250+J251,"")</f>
        <v>3639243.1821496133</v>
      </c>
      <c r="J251" s="32">
        <f>IF(B250&lt;'Умови та класичний графік'!$J$14,PPMT($J$21/12,B251,$J$12,$J$11,0,0),"")</f>
        <v>-119225.71426360549</v>
      </c>
      <c r="K251" s="32">
        <f>IF(B250&lt;'Умови та класичний графік'!$J$14,IPMT($J$21/12,B251,$J$12,$J$11,0,0),"")</f>
        <v>-70471.291807747839</v>
      </c>
      <c r="L251" s="30">
        <f>IF(B250&lt;'Умови та класичний графік'!$J$14,-(SUM(M251:V251)),"")</f>
        <v>-436917.72954644886</v>
      </c>
      <c r="M251" s="38"/>
      <c r="N251" s="39"/>
      <c r="O251" s="39"/>
      <c r="P251" s="32"/>
      <c r="Q251" s="40"/>
      <c r="R251" s="40"/>
      <c r="S251" s="41"/>
      <c r="T251" s="41"/>
      <c r="U251" s="33">
        <f>IF(B250&lt;'Умови та класичний графік'!$J$14,('Умови та класичний графік'!$J$15*$N$19)+(I251*$N$20),"")</f>
        <v>436917.72954644886</v>
      </c>
      <c r="V251" s="41"/>
      <c r="W251" s="43">
        <f>IF(B250&lt;'Умови та класичний графік'!$J$14,XIRR($G$35:G251,$C$35:C251,0),"")</f>
        <v>0.39805397949218757</v>
      </c>
      <c r="X251" s="42"/>
      <c r="Y251" s="35"/>
    </row>
    <row r="252" spans="2:25" x14ac:dyDescent="0.2">
      <c r="B252" s="25">
        <v>217</v>
      </c>
      <c r="C252" s="36">
        <f>IF(B251&lt;'Умови та класичний графік'!$J$14,EDATE(C251,1),"")</f>
        <v>50802</v>
      </c>
      <c r="D252" s="36">
        <f>IF(B251&lt;'Умови та класичний графік'!$J$14,C251,"")</f>
        <v>50771</v>
      </c>
      <c r="E252" s="26">
        <f>IF(B251&lt;'Умови та класичний графік'!$J$14,C252-1,"")</f>
        <v>50801</v>
      </c>
      <c r="F252" s="37">
        <f>IF(B251&lt;'Умови та класичний графік'!$J$14,E252-D252+1,"")</f>
        <v>31</v>
      </c>
      <c r="G252" s="144">
        <f>IF(B251&lt;'Умови та класичний графік'!$J$14,-(SUM(J252:L252)),"")</f>
        <v>189697.00607135336</v>
      </c>
      <c r="H252" s="144"/>
      <c r="I252" s="32">
        <f>IF(B251&lt;'Умови та класичний графік'!$J$14,I251+J252,"")</f>
        <v>3517781.985743565</v>
      </c>
      <c r="J252" s="32">
        <f>IF(B251&lt;'Умови та класичний графік'!$J$14,PPMT($J$21/12,B252,$J$12,$J$11,0,0),"")</f>
        <v>-121461.19640604811</v>
      </c>
      <c r="K252" s="32">
        <f>IF(B251&lt;'Умови та класичний графік'!$J$14,IPMT($J$21/12,B252,$J$12,$J$11,0,0),"")</f>
        <v>-68235.809665305249</v>
      </c>
      <c r="L252" s="30">
        <f>IF(B251&lt;'Умови та класичний графік'!$J$14,-(SUM(M252:V252)),"")</f>
        <v>0</v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>
        <f>IF(B251&lt;'Умови та класичний графік'!$J$14,XIRR($G$35:G252,$C$35:C252,0),"")</f>
        <v>0.39807980957031253</v>
      </c>
      <c r="X252" s="42"/>
      <c r="Y252" s="35"/>
    </row>
    <row r="253" spans="2:25" x14ac:dyDescent="0.2">
      <c r="B253" s="25">
        <v>218</v>
      </c>
      <c r="C253" s="36">
        <f>IF(B252&lt;'Умови та класичний графік'!$J$14,EDATE(C252,1),"")</f>
        <v>50830</v>
      </c>
      <c r="D253" s="36">
        <f>IF(B252&lt;'Умови та класичний графік'!$J$14,C252,"")</f>
        <v>50802</v>
      </c>
      <c r="E253" s="26">
        <f>IF(B252&lt;'Умови та класичний графік'!$J$14,C253-1,"")</f>
        <v>50829</v>
      </c>
      <c r="F253" s="37">
        <f>IF(B252&lt;'Умови та класичний графік'!$J$14,E253-D253+1,"")</f>
        <v>28</v>
      </c>
      <c r="G253" s="144">
        <f>IF(B252&lt;'Умови та класичний графік'!$J$14,-(SUM(J253:L253)),"")</f>
        <v>189697.00607135333</v>
      </c>
      <c r="H253" s="144"/>
      <c r="I253" s="32">
        <f>IF(B252&lt;'Умови та класичний графік'!$J$14,I252+J253,"")</f>
        <v>3394043.3919049036</v>
      </c>
      <c r="J253" s="32">
        <f>IF(B252&lt;'Умови та класичний графік'!$J$14,PPMT($J$21/12,B253,$J$12,$J$11,0,0),"")</f>
        <v>-123738.5938386615</v>
      </c>
      <c r="K253" s="32">
        <f>IF(B252&lt;'Умови та класичний графік'!$J$14,IPMT($J$21/12,B253,$J$12,$J$11,0,0),"")</f>
        <v>-65958.412232691844</v>
      </c>
      <c r="L253" s="30">
        <f>IF(B252&lt;'Умови та класичний графік'!$J$14,-(SUM(M253:V253)),"")</f>
        <v>0</v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>
        <f>IF(B252&lt;'Умови та класичний графік'!$J$14,XIRR($G$35:G253,$C$35:C253,0),"")</f>
        <v>0.39810497558593749</v>
      </c>
      <c r="X253" s="42"/>
      <c r="Y253" s="35"/>
    </row>
    <row r="254" spans="2:25" x14ac:dyDescent="0.2">
      <c r="B254" s="25">
        <v>219</v>
      </c>
      <c r="C254" s="36">
        <f>IF(B253&lt;'Умови та класичний графік'!$J$14,EDATE(C253,1),"")</f>
        <v>50861</v>
      </c>
      <c r="D254" s="36">
        <f>IF(B253&lt;'Умови та класичний графік'!$J$14,C253,"")</f>
        <v>50830</v>
      </c>
      <c r="E254" s="26">
        <f>IF(B253&lt;'Умови та класичний графік'!$J$14,C254-1,"")</f>
        <v>50860</v>
      </c>
      <c r="F254" s="37">
        <f>IF(B253&lt;'Умови та класичний графік'!$J$14,E254-D254+1,"")</f>
        <v>31</v>
      </c>
      <c r="G254" s="144">
        <f>IF(B253&lt;'Умови та класичний графік'!$J$14,-(SUM(J254:L254)),"")</f>
        <v>189697.00607135333</v>
      </c>
      <c r="H254" s="144"/>
      <c r="I254" s="32">
        <f>IF(B253&lt;'Умови та класичний графік'!$J$14,I253+J254,"")</f>
        <v>3267984.6994317672</v>
      </c>
      <c r="J254" s="32">
        <f>IF(B253&lt;'Умови та класичний графік'!$J$14,PPMT($J$21/12,B254,$J$12,$J$11,0,0),"")</f>
        <v>-126058.6924731364</v>
      </c>
      <c r="K254" s="32">
        <f>IF(B253&lt;'Умови та класичний графік'!$J$14,IPMT($J$21/12,B254,$J$12,$J$11,0,0),"")</f>
        <v>-63638.313598216941</v>
      </c>
      <c r="L254" s="30">
        <f>IF(B253&lt;'Умови та класичний графік'!$J$14,-(SUM(M254:V254)),"")</f>
        <v>0</v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>
        <f>IF(B253&lt;'Умови та класичний графік'!$J$14,XIRR($G$35:G254,$C$35:C254,0),"")</f>
        <v>0.39812942871093748</v>
      </c>
      <c r="X254" s="42"/>
      <c r="Y254" s="35"/>
    </row>
    <row r="255" spans="2:25" x14ac:dyDescent="0.2">
      <c r="B255" s="25">
        <v>220</v>
      </c>
      <c r="C255" s="36">
        <f>IF(B254&lt;'Умови та класичний графік'!$J$14,EDATE(C254,1),"")</f>
        <v>50891</v>
      </c>
      <c r="D255" s="36">
        <f>IF(B254&lt;'Умови та класичний графік'!$J$14,C254,"")</f>
        <v>50861</v>
      </c>
      <c r="E255" s="26">
        <f>IF(B254&lt;'Умови та класичний графік'!$J$14,C255-1,"")</f>
        <v>50890</v>
      </c>
      <c r="F255" s="37">
        <f>IF(B254&lt;'Умови та класичний графік'!$J$14,E255-D255+1,"")</f>
        <v>30</v>
      </c>
      <c r="G255" s="144">
        <f>IF(B254&lt;'Умови та класичний графік'!$J$14,-(SUM(J255:L255)),"")</f>
        <v>189697.00607135333</v>
      </c>
      <c r="H255" s="144"/>
      <c r="I255" s="32">
        <f>IF(B254&lt;'Умови та класичний графік'!$J$14,I254+J255,"")</f>
        <v>3139562.4064747593</v>
      </c>
      <c r="J255" s="32">
        <f>IF(B254&lt;'Умови та класичний графік'!$J$14,PPMT($J$21/12,B255,$J$12,$J$11,0,0),"")</f>
        <v>-128422.29295700771</v>
      </c>
      <c r="K255" s="32">
        <f>IF(B254&lt;'Умови та класичний графік'!$J$14,IPMT($J$21/12,B255,$J$12,$J$11,0,0),"")</f>
        <v>-61274.713114345614</v>
      </c>
      <c r="L255" s="30">
        <f>IF(B254&lt;'Умови та класичний графік'!$J$14,-(SUM(M255:V255)),"")</f>
        <v>0</v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>
        <f>IF(B254&lt;'Умови та класичний графік'!$J$14,XIRR($G$35:G255,$C$35:C255,0),"")</f>
        <v>0.39815319824218753</v>
      </c>
      <c r="X255" s="42"/>
      <c r="Y255" s="35"/>
    </row>
    <row r="256" spans="2:25" x14ac:dyDescent="0.2">
      <c r="B256" s="25">
        <v>221</v>
      </c>
      <c r="C256" s="36">
        <f>IF(B255&lt;'Умови та класичний графік'!$J$14,EDATE(C255,1),"")</f>
        <v>50922</v>
      </c>
      <c r="D256" s="36">
        <f>IF(B255&lt;'Умови та класичний графік'!$J$14,C255,"")</f>
        <v>50891</v>
      </c>
      <c r="E256" s="26">
        <f>IF(B255&lt;'Умови та класичний графік'!$J$14,C256-1,"")</f>
        <v>50921</v>
      </c>
      <c r="F256" s="37">
        <f>IF(B255&lt;'Умови та класичний графік'!$J$14,E256-D256+1,"")</f>
        <v>31</v>
      </c>
      <c r="G256" s="144">
        <f>IF(B255&lt;'Умови та класичний графік'!$J$14,-(SUM(J256:L256)),"")</f>
        <v>189697.00607135333</v>
      </c>
      <c r="H256" s="144"/>
      <c r="I256" s="32">
        <f>IF(B255&lt;'Умови та класичний графік'!$J$14,I255+J256,"")</f>
        <v>3008732.1955248076</v>
      </c>
      <c r="J256" s="32">
        <f>IF(B255&lt;'Умови та класичний графік'!$J$14,PPMT($J$21/12,B256,$J$12,$J$11,0,0),"")</f>
        <v>-130830.21094995161</v>
      </c>
      <c r="K256" s="32">
        <f>IF(B255&lt;'Умови та класичний графік'!$J$14,IPMT($J$21/12,B256,$J$12,$J$11,0,0),"")</f>
        <v>-58866.795121401738</v>
      </c>
      <c r="L256" s="30">
        <f>IF(B255&lt;'Умови та класичний графік'!$J$14,-(SUM(M256:V256)),"")</f>
        <v>0</v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>
        <f>IF(B255&lt;'Умови та класичний графік'!$J$14,XIRR($G$35:G256,$C$35:C256,0),"")</f>
        <v>0.39817629394531251</v>
      </c>
      <c r="X256" s="42"/>
      <c r="Y256" s="35"/>
    </row>
    <row r="257" spans="2:25" x14ac:dyDescent="0.2">
      <c r="B257" s="25">
        <v>222</v>
      </c>
      <c r="C257" s="36">
        <f>IF(B256&lt;'Умови та класичний графік'!$J$14,EDATE(C256,1),"")</f>
        <v>50952</v>
      </c>
      <c r="D257" s="36">
        <f>IF(B256&lt;'Умови та класичний графік'!$J$14,C256,"")</f>
        <v>50922</v>
      </c>
      <c r="E257" s="26">
        <f>IF(B256&lt;'Умови та класичний графік'!$J$14,C257-1,"")</f>
        <v>50951</v>
      </c>
      <c r="F257" s="37">
        <f>IF(B256&lt;'Умови та класичний графік'!$J$14,E257-D257+1,"")</f>
        <v>30</v>
      </c>
      <c r="G257" s="144">
        <f>IF(B256&lt;'Умови та класичний графік'!$J$14,-(SUM(J257:L257)),"")</f>
        <v>189697.00607135336</v>
      </c>
      <c r="H257" s="144"/>
      <c r="I257" s="32">
        <f>IF(B256&lt;'Умови та класичний графік'!$J$14,I256+J257,"")</f>
        <v>2875448.9181195442</v>
      </c>
      <c r="J257" s="32">
        <f>IF(B256&lt;'Умови та класичний графік'!$J$14,PPMT($J$21/12,B257,$J$12,$J$11,0,0),"")</f>
        <v>-133283.27740526322</v>
      </c>
      <c r="K257" s="32">
        <f>IF(B256&lt;'Умови та класичний графік'!$J$14,IPMT($J$21/12,B257,$J$12,$J$11,0,0),"")</f>
        <v>-56413.728666090137</v>
      </c>
      <c r="L257" s="30">
        <f>IF(B256&lt;'Умови та класичний графік'!$J$14,-(SUM(M257:V257)),"")</f>
        <v>0</v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>
        <f>IF(B256&lt;'Умови та класичний графік'!$J$14,XIRR($G$35:G257,$C$35:C257,0),"")</f>
        <v>0.39819874511718756</v>
      </c>
      <c r="X257" s="42"/>
      <c r="Y257" s="35"/>
    </row>
    <row r="258" spans="2:25" x14ac:dyDescent="0.2">
      <c r="B258" s="25">
        <v>223</v>
      </c>
      <c r="C258" s="36">
        <f>IF(B257&lt;'Умови та класичний графік'!$J$14,EDATE(C257,1),"")</f>
        <v>50983</v>
      </c>
      <c r="D258" s="36">
        <f>IF(B257&lt;'Умови та класичний графік'!$J$14,C257,"")</f>
        <v>50952</v>
      </c>
      <c r="E258" s="26">
        <f>IF(B257&lt;'Умови та класичний графік'!$J$14,C258-1,"")</f>
        <v>50982</v>
      </c>
      <c r="F258" s="37">
        <f>IF(B257&lt;'Умови та класичний графік'!$J$14,E258-D258+1,"")</f>
        <v>31</v>
      </c>
      <c r="G258" s="144">
        <f>IF(B257&lt;'Умови та класичний графік'!$J$14,-(SUM(J258:L258)),"")</f>
        <v>189697.00607135333</v>
      </c>
      <c r="H258" s="144"/>
      <c r="I258" s="32">
        <f>IF(B257&lt;'Умови та класичний графік'!$J$14,I257+J258,"")</f>
        <v>2739666.5792629323</v>
      </c>
      <c r="J258" s="32">
        <f>IF(B257&lt;'Умови та класичний графік'!$J$14,PPMT($J$21/12,B258,$J$12,$J$11,0,0),"")</f>
        <v>-135782.33885661187</v>
      </c>
      <c r="K258" s="32">
        <f>IF(B257&lt;'Умови та класичний графік'!$J$14,IPMT($J$21/12,B258,$J$12,$J$11,0,0),"")</f>
        <v>-53914.66721474145</v>
      </c>
      <c r="L258" s="30">
        <f>IF(B257&lt;'Умови та класичний графік'!$J$14,-(SUM(M258:V258)),"")</f>
        <v>0</v>
      </c>
      <c r="M258" s="38"/>
      <c r="N258" s="39"/>
      <c r="O258" s="39"/>
      <c r="P258" s="32"/>
      <c r="Q258" s="40"/>
      <c r="R258" s="40"/>
      <c r="S258" s="41"/>
      <c r="T258" s="41"/>
      <c r="U258" s="33"/>
      <c r="V258" s="41"/>
      <c r="W258" s="43">
        <f>IF(B257&lt;'Умови та класичний графік'!$J$14,XIRR($G$35:G258,$C$35:C258,0),"")</f>
        <v>0.39822056152343743</v>
      </c>
      <c r="X258" s="42"/>
      <c r="Y258" s="35"/>
    </row>
    <row r="259" spans="2:25" x14ac:dyDescent="0.2">
      <c r="B259" s="25">
        <v>224</v>
      </c>
      <c r="C259" s="36">
        <f>IF(B258&lt;'Умови та класичний графік'!$J$14,EDATE(C258,1),"")</f>
        <v>51014</v>
      </c>
      <c r="D259" s="36">
        <f>IF(B258&lt;'Умови та класичний графік'!$J$14,C258,"")</f>
        <v>50983</v>
      </c>
      <c r="E259" s="26">
        <f>IF(B258&lt;'Умови та класичний графік'!$J$14,C259-1,"")</f>
        <v>51013</v>
      </c>
      <c r="F259" s="37">
        <f>IF(B258&lt;'Умови та класичний графік'!$J$14,E259-D259+1,"")</f>
        <v>31</v>
      </c>
      <c r="G259" s="144">
        <f>IF(B258&lt;'Умови та класичний графік'!$J$14,-(SUM(J259:L259)),"")</f>
        <v>189697.00607135336</v>
      </c>
      <c r="H259" s="144"/>
      <c r="I259" s="32">
        <f>IF(B258&lt;'Умови та класичний графік'!$J$14,I258+J259,"")</f>
        <v>2601338.321552759</v>
      </c>
      <c r="J259" s="32">
        <f>IF(B258&lt;'Умови та класичний графік'!$J$14,PPMT($J$21/12,B259,$J$12,$J$11,0,0),"")</f>
        <v>-138328.25771017338</v>
      </c>
      <c r="K259" s="32">
        <f>IF(B258&lt;'Умови та класичний графік'!$J$14,IPMT($J$21/12,B259,$J$12,$J$11,0,0),"")</f>
        <v>-51368.748361179976</v>
      </c>
      <c r="L259" s="30">
        <f>IF(B258&lt;'Умови та класичний графік'!$J$14,-(SUM(M259:V259)),"")</f>
        <v>0</v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>
        <f>IF(B258&lt;'Умови та класичний графік'!$J$14,XIRR($G$35:G259,$C$35:C259,0),"")</f>
        <v>0.39824175292968755</v>
      </c>
      <c r="X259" s="42"/>
      <c r="Y259" s="35"/>
    </row>
    <row r="260" spans="2:25" x14ac:dyDescent="0.2">
      <c r="B260" s="25">
        <v>225</v>
      </c>
      <c r="C260" s="36">
        <f>IF(B259&lt;'Умови та класичний графік'!$J$14,EDATE(C259,1),"")</f>
        <v>51044</v>
      </c>
      <c r="D260" s="36">
        <f>IF(B259&lt;'Умови та класичний графік'!$J$14,C259,"")</f>
        <v>51014</v>
      </c>
      <c r="E260" s="26">
        <f>IF(B259&lt;'Умови та класичний графік'!$J$14,C260-1,"")</f>
        <v>51043</v>
      </c>
      <c r="F260" s="37">
        <f>IF(B259&lt;'Умови та класичний графік'!$J$14,E260-D260+1,"")</f>
        <v>30</v>
      </c>
      <c r="G260" s="144">
        <f>IF(B259&lt;'Умови та класичний графік'!$J$14,-(SUM(J260:L260)),"")</f>
        <v>189697.00607135333</v>
      </c>
      <c r="H260" s="144"/>
      <c r="I260" s="32">
        <f>IF(B259&lt;'Умови та класичний графік'!$J$14,I259+J260,"")</f>
        <v>2460416.4090105197</v>
      </c>
      <c r="J260" s="32">
        <f>IF(B259&lt;'Умови та класичний графік'!$J$14,PPMT($J$21/12,B260,$J$12,$J$11,0,0),"")</f>
        <v>-140921.91254223909</v>
      </c>
      <c r="K260" s="32">
        <f>IF(B259&lt;'Умови та класичний графік'!$J$14,IPMT($J$21/12,B260,$J$12,$J$11,0,0),"")</f>
        <v>-48775.09352911423</v>
      </c>
      <c r="L260" s="30">
        <f>IF(B259&lt;'Умови та класичний графік'!$J$14,-(SUM(M260:V260)),"")</f>
        <v>0</v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>
        <f>IF(B259&lt;'Умови та класичний графік'!$J$14,XIRR($G$35:G260,$C$35:C260,0),"")</f>
        <v>0.3982623583984376</v>
      </c>
      <c r="X260" s="42"/>
      <c r="Y260" s="35"/>
    </row>
    <row r="261" spans="2:25" x14ac:dyDescent="0.2">
      <c r="B261" s="25">
        <v>226</v>
      </c>
      <c r="C261" s="36">
        <f>IF(B260&lt;'Умови та класичний графік'!$J$14,EDATE(C260,1),"")</f>
        <v>51075</v>
      </c>
      <c r="D261" s="36">
        <f>IF(B260&lt;'Умови та класичний графік'!$J$14,C260,"")</f>
        <v>51044</v>
      </c>
      <c r="E261" s="26">
        <f>IF(B260&lt;'Умови та класичний графік'!$J$14,C261-1,"")</f>
        <v>51074</v>
      </c>
      <c r="F261" s="37">
        <f>IF(B260&lt;'Умови та класичний графік'!$J$14,E261-D261+1,"")</f>
        <v>31</v>
      </c>
      <c r="G261" s="144">
        <f>IF(B260&lt;'Умови та класичний графік'!$J$14,-(SUM(J261:L261)),"")</f>
        <v>189697.00607135333</v>
      </c>
      <c r="H261" s="144"/>
      <c r="I261" s="32">
        <f>IF(B260&lt;'Умови та класичний графік'!$J$14,I260+J261,"")</f>
        <v>2316852.2106081136</v>
      </c>
      <c r="J261" s="32">
        <f>IF(B260&lt;'Умови та класичний графік'!$J$14,PPMT($J$21/12,B261,$J$12,$J$11,0,0),"")</f>
        <v>-143564.19840240609</v>
      </c>
      <c r="K261" s="32">
        <f>IF(B260&lt;'Умови та класичний графік'!$J$14,IPMT($J$21/12,B261,$J$12,$J$11,0,0),"")</f>
        <v>-46132.807668947251</v>
      </c>
      <c r="L261" s="30">
        <f>IF(B260&lt;'Умови та класичний графік'!$J$14,-(SUM(M261:V261)),"")</f>
        <v>0</v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>
        <f>IF(B260&lt;'Умови та класичний графік'!$J$14,XIRR($G$35:G261,$C$35:C261,0),"")</f>
        <v>0.39828237792968757</v>
      </c>
      <c r="X261" s="42"/>
      <c r="Y261" s="35"/>
    </row>
    <row r="262" spans="2:25" x14ac:dyDescent="0.2">
      <c r="B262" s="25">
        <v>227</v>
      </c>
      <c r="C262" s="36">
        <f>IF(B261&lt;'Умови та класичний графік'!$J$14,EDATE(C261,1),"")</f>
        <v>51105</v>
      </c>
      <c r="D262" s="36">
        <f>IF(B261&lt;'Умови та класичний графік'!$J$14,C261,"")</f>
        <v>51075</v>
      </c>
      <c r="E262" s="26">
        <f>IF(B261&lt;'Умови та класичний графік'!$J$14,C262-1,"")</f>
        <v>51104</v>
      </c>
      <c r="F262" s="37">
        <f>IF(B261&lt;'Умови та класичний графік'!$J$14,E262-D262+1,"")</f>
        <v>30</v>
      </c>
      <c r="G262" s="144">
        <f>IF(B261&lt;'Умови та класичний графік'!$J$14,-(SUM(J262:L262)),"")</f>
        <v>189697.00607135333</v>
      </c>
      <c r="H262" s="144"/>
      <c r="I262" s="32">
        <f>IF(B261&lt;'Умови та класичний графік'!$J$14,I261+J262,"")</f>
        <v>2170596.1834856626</v>
      </c>
      <c r="J262" s="32">
        <f>IF(B261&lt;'Умови та класичний графік'!$J$14,PPMT($J$21/12,B262,$J$12,$J$11,0,0),"")</f>
        <v>-146256.0271224512</v>
      </c>
      <c r="K262" s="32">
        <f>IF(B261&lt;'Умови та класичний графік'!$J$14,IPMT($J$21/12,B262,$J$12,$J$11,0,0),"")</f>
        <v>-43440.978948902128</v>
      </c>
      <c r="L262" s="30">
        <f>IF(B261&lt;'Умови та класичний графік'!$J$14,-(SUM(M262:V262)),"")</f>
        <v>0</v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>
        <f>IF(B261&lt;'Умови та класичний графік'!$J$14,XIRR($G$35:G262,$C$35:C262,0),"")</f>
        <v>0.39830184082031261</v>
      </c>
      <c r="X262" s="42"/>
      <c r="Y262" s="35"/>
    </row>
    <row r="263" spans="2:25" x14ac:dyDescent="0.2">
      <c r="B263" s="25">
        <v>228</v>
      </c>
      <c r="C263" s="36">
        <f>IF(B262&lt;'Умови та класичний графік'!$J$14,EDATE(C262,1),"")</f>
        <v>51136</v>
      </c>
      <c r="D263" s="36">
        <f>IF(B262&lt;'Умови та класичний графік'!$J$14,C262,"")</f>
        <v>51105</v>
      </c>
      <c r="E263" s="26">
        <f>IF(B262&lt;'Умови та класичний графік'!$J$14,C263-1,"")</f>
        <v>51135</v>
      </c>
      <c r="F263" s="37">
        <f>IF(B262&lt;'Умови та класичний графік'!$J$14,E263-D263+1,"")</f>
        <v>31</v>
      </c>
      <c r="G263" s="144">
        <f>IF(B262&lt;'Умови та класичний графік'!$J$14,-(SUM(J263:L263)),"")</f>
        <v>621761.79963891732</v>
      </c>
      <c r="H263" s="144"/>
      <c r="I263" s="32">
        <f>IF(B262&lt;'Умови та класичний графік'!$J$14,I262+J263,"")</f>
        <v>2021597.8558546654</v>
      </c>
      <c r="J263" s="32">
        <f>IF(B262&lt;'Умови та класичний графік'!$J$14,PPMT($J$21/12,B263,$J$12,$J$11,0,0),"")</f>
        <v>-148998.32763099717</v>
      </c>
      <c r="K263" s="32">
        <f>IF(B262&lt;'Умови та класичний графік'!$J$14,IPMT($J$21/12,B263,$J$12,$J$11,0,0),"")</f>
        <v>-40698.678440356161</v>
      </c>
      <c r="L263" s="30">
        <f>IF(B262&lt;'Умови та класичний графік'!$J$14,-(SUM(M263:V263)),"")</f>
        <v>-432064.79356756399</v>
      </c>
      <c r="M263" s="38"/>
      <c r="N263" s="39"/>
      <c r="O263" s="39"/>
      <c r="P263" s="32"/>
      <c r="Q263" s="40"/>
      <c r="R263" s="40"/>
      <c r="S263" s="41"/>
      <c r="T263" s="41"/>
      <c r="U263" s="33">
        <f>IF(B262&lt;'Умови та класичний графік'!$J$14,('Умови та класичний графік'!$J$15*$N$19)+(I263*$N$20),"")</f>
        <v>432064.79356756399</v>
      </c>
      <c r="V263" s="41"/>
      <c r="W263" s="43">
        <f>IF(B262&lt;'Умови та класичний графік'!$J$14,XIRR($G$35:G263,$C$35:C263,0),"")</f>
        <v>0.39836379394531252</v>
      </c>
      <c r="X263" s="42"/>
      <c r="Y263" s="35"/>
    </row>
    <row r="264" spans="2:25" x14ac:dyDescent="0.2">
      <c r="B264" s="25">
        <v>229</v>
      </c>
      <c r="C264" s="36">
        <f>IF(B263&lt;'Умови та класичний графік'!$J$14,EDATE(C263,1),"")</f>
        <v>51167</v>
      </c>
      <c r="D264" s="36">
        <f>IF(B263&lt;'Умови та класичний графік'!$J$14,C263,"")</f>
        <v>51136</v>
      </c>
      <c r="E264" s="26">
        <f>IF(B263&lt;'Умови та класичний графік'!$J$14,C264-1,"")</f>
        <v>51166</v>
      </c>
      <c r="F264" s="37">
        <f>IF(B263&lt;'Умови та класичний графік'!$J$14,E264-D264+1,"")</f>
        <v>31</v>
      </c>
      <c r="G264" s="144">
        <f>IF(B263&lt;'Умови та класичний графік'!$J$14,-(SUM(J264:L264)),"")</f>
        <v>189697.00607135333</v>
      </c>
      <c r="H264" s="144"/>
      <c r="I264" s="32">
        <f>IF(B263&lt;'Умови та класичний графік'!$J$14,I263+J264,"")</f>
        <v>1869805.8095805871</v>
      </c>
      <c r="J264" s="32">
        <f>IF(B263&lt;'Умови та класичний графік'!$J$14,PPMT($J$21/12,B264,$J$12,$J$11,0,0),"")</f>
        <v>-151792.04627407834</v>
      </c>
      <c r="K264" s="32">
        <f>IF(B263&lt;'Умови та класичний графік'!$J$14,IPMT($J$21/12,B264,$J$12,$J$11,0,0),"")</f>
        <v>-37904.959797274976</v>
      </c>
      <c r="L264" s="30">
        <f>IF(B263&lt;'Умови та класичний графік'!$J$14,-(SUM(M264:V264)),"")</f>
        <v>0</v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>
        <f>IF(B263&lt;'Умови та класичний графік'!$J$14,XIRR($G$35:G264,$C$35:C264,0),"")</f>
        <v>0.39838215332031257</v>
      </c>
      <c r="X264" s="42"/>
      <c r="Y264" s="35"/>
    </row>
    <row r="265" spans="2:25" x14ac:dyDescent="0.2">
      <c r="B265" s="25">
        <v>230</v>
      </c>
      <c r="C265" s="36">
        <f>IF(B264&lt;'Умови та класичний графік'!$J$14,EDATE(C264,1),"")</f>
        <v>51196</v>
      </c>
      <c r="D265" s="36">
        <f>IF(B264&lt;'Умови та класичний графік'!$J$14,C264,"")</f>
        <v>51167</v>
      </c>
      <c r="E265" s="26">
        <f>IF(B264&lt;'Умови та класичний графік'!$J$14,C265-1,"")</f>
        <v>51195</v>
      </c>
      <c r="F265" s="37">
        <f>IF(B264&lt;'Умови та класичний графік'!$J$14,E265-D265+1,"")</f>
        <v>29</v>
      </c>
      <c r="G265" s="144">
        <f>IF(B264&lt;'Умови та класичний графік'!$J$14,-(SUM(J265:L265)),"")</f>
        <v>189697.00607135336</v>
      </c>
      <c r="H265" s="144"/>
      <c r="I265" s="32">
        <f>IF(B264&lt;'Умови та класичний графік'!$J$14,I264+J265,"")</f>
        <v>1715167.6624388697</v>
      </c>
      <c r="J265" s="32">
        <f>IF(B264&lt;'Умови та класичний графік'!$J$14,PPMT($J$21/12,B265,$J$12,$J$11,0,0),"")</f>
        <v>-154638.14714171735</v>
      </c>
      <c r="K265" s="32">
        <f>IF(B264&lt;'Умови та класичний графік'!$J$14,IPMT($J$21/12,B265,$J$12,$J$11,0,0),"")</f>
        <v>-35058.858929636008</v>
      </c>
      <c r="L265" s="30">
        <f>IF(B264&lt;'Умови та класичний графік'!$J$14,-(SUM(M265:V265)),"")</f>
        <v>0</v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>
        <f>IF(B264&lt;'Умови та класичний графік'!$J$14,XIRR($G$35:G265,$C$35:C265,0),"")</f>
        <v>0.39840001464843755</v>
      </c>
      <c r="X265" s="42"/>
      <c r="Y265" s="35"/>
    </row>
    <row r="266" spans="2:25" x14ac:dyDescent="0.2">
      <c r="B266" s="25">
        <v>231</v>
      </c>
      <c r="C266" s="36">
        <f>IF(B265&lt;'Умови та класичний графік'!$J$14,EDATE(C265,1),"")</f>
        <v>51227</v>
      </c>
      <c r="D266" s="36">
        <f>IF(B265&lt;'Умови та класичний графік'!$J$14,C265,"")</f>
        <v>51196</v>
      </c>
      <c r="E266" s="26">
        <f>IF(B265&lt;'Умови та класичний графік'!$J$14,C266-1,"")</f>
        <v>51226</v>
      </c>
      <c r="F266" s="37">
        <f>IF(B265&lt;'Умови та класичний графік'!$J$14,E266-D266+1,"")</f>
        <v>31</v>
      </c>
      <c r="G266" s="144">
        <f>IF(B265&lt;'Умови та класичний графік'!$J$14,-(SUM(J266:L266)),"")</f>
        <v>189697.00607135333</v>
      </c>
      <c r="H266" s="144"/>
      <c r="I266" s="32">
        <f>IF(B265&lt;'Умови та класичний графік'!$J$14,I265+J266,"")</f>
        <v>1557630.0500382453</v>
      </c>
      <c r="J266" s="32">
        <f>IF(B265&lt;'Умови та класичний графік'!$J$14,PPMT($J$21/12,B266,$J$12,$J$11,0,0),"")</f>
        <v>-157537.61240062452</v>
      </c>
      <c r="K266" s="32">
        <f>IF(B265&lt;'Умови та класичний графік'!$J$14,IPMT($J$21/12,B266,$J$12,$J$11,0,0),"")</f>
        <v>-32159.393670728805</v>
      </c>
      <c r="L266" s="30">
        <f>IF(B265&lt;'Умови та класичний графік'!$J$14,-(SUM(M266:V266)),"")</f>
        <v>0</v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>
        <f>IF(B265&lt;'Умови та класичний графік'!$J$14,XIRR($G$35:G266,$C$35:C266,0),"")</f>
        <v>0.39841737792968757</v>
      </c>
      <c r="X266" s="42"/>
      <c r="Y266" s="35"/>
    </row>
    <row r="267" spans="2:25" x14ac:dyDescent="0.2">
      <c r="B267" s="25">
        <v>232</v>
      </c>
      <c r="C267" s="36">
        <f>IF(B266&lt;'Умови та класичний графік'!$J$14,EDATE(C266,1),"")</f>
        <v>51257</v>
      </c>
      <c r="D267" s="36">
        <f>IF(B266&lt;'Умови та класичний графік'!$J$14,C266,"")</f>
        <v>51227</v>
      </c>
      <c r="E267" s="26">
        <f>IF(B266&lt;'Умови та класичний графік'!$J$14,C267-1,"")</f>
        <v>51256</v>
      </c>
      <c r="F267" s="37">
        <f>IF(B266&lt;'Умови та класичний графік'!$J$14,E267-D267+1,"")</f>
        <v>30</v>
      </c>
      <c r="G267" s="144">
        <f>IF(B266&lt;'Умови та класичний графік'!$J$14,-(SUM(J267:L267)),"")</f>
        <v>189697.00607135336</v>
      </c>
      <c r="H267" s="144"/>
      <c r="I267" s="32">
        <f>IF(B266&lt;'Умови та класичний графік'!$J$14,I266+J267,"")</f>
        <v>1397138.6074051091</v>
      </c>
      <c r="J267" s="32">
        <f>IF(B266&lt;'Умови та класичний графік'!$J$14,PPMT($J$21/12,B267,$J$12,$J$11,0,0),"")</f>
        <v>-160491.44263313626</v>
      </c>
      <c r="K267" s="32">
        <f>IF(B266&lt;'Умови та класичний графік'!$J$14,IPMT($J$21/12,B267,$J$12,$J$11,0,0),"")</f>
        <v>-29205.563438217097</v>
      </c>
      <c r="L267" s="30">
        <f>IF(B266&lt;'Умови та класичний графік'!$J$14,-(SUM(M267:V267)),"")</f>
        <v>0</v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>
        <f>IF(B266&lt;'Умови та класичний графік'!$J$14,XIRR($G$35:G267,$C$35:C267,0),"")</f>
        <v>0.39843425292968759</v>
      </c>
      <c r="X267" s="42"/>
      <c r="Y267" s="35"/>
    </row>
    <row r="268" spans="2:25" x14ac:dyDescent="0.2">
      <c r="B268" s="47">
        <v>233</v>
      </c>
      <c r="C268" s="36">
        <f>IF(B267&lt;'Умови та класичний графік'!$J$14,EDATE(C267,1),"")</f>
        <v>51288</v>
      </c>
      <c r="D268" s="36">
        <f>IF(B267&lt;'Умови та класичний графік'!$J$14,C267,"")</f>
        <v>51257</v>
      </c>
      <c r="E268" s="26">
        <f>IF(B267&lt;'Умови та класичний графік'!$J$14,C268-1,"")</f>
        <v>51287</v>
      </c>
      <c r="F268" s="37">
        <f>IF(B267&lt;'Умови та класичний графік'!$J$14,E268-D268+1,"")</f>
        <v>31</v>
      </c>
      <c r="G268" s="144">
        <f>IF(B267&lt;'Умови та класичний графік'!$J$14,-(SUM(J268:L268)),"")</f>
        <v>189697.00607135333</v>
      </c>
      <c r="H268" s="144"/>
      <c r="I268" s="32">
        <f>IF(B267&lt;'Умови та класичний графік'!$J$14,I267+J268,"")</f>
        <v>1233637.9502226016</v>
      </c>
      <c r="J268" s="32">
        <f>IF(B267&lt;'Умови та класичний графік'!$J$14,PPMT($J$21/12,B268,$J$12,$J$11,0,0),"")</f>
        <v>-163500.65718250754</v>
      </c>
      <c r="K268" s="32">
        <f>IF(B267&lt;'Умови та класичний графік'!$J$14,IPMT($J$21/12,B268,$J$12,$J$11,0,0),"")</f>
        <v>-26196.348888845798</v>
      </c>
      <c r="L268" s="30">
        <f>IF(B267&lt;'Умови та класичний графік'!$J$14,-(SUM(M268:V268)),"")</f>
        <v>0</v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>
        <f>IF(B267&lt;'Умови та класичний графік'!$J$14,XIRR($G$35:G268,$C$35:C268,0),"")</f>
        <v>0.39845064941406261</v>
      </c>
      <c r="X268" s="42"/>
      <c r="Y268" s="35"/>
    </row>
    <row r="269" spans="2:25" x14ac:dyDescent="0.2">
      <c r="B269" s="47">
        <v>234</v>
      </c>
      <c r="C269" s="36">
        <f>IF(B268&lt;'Умови та класичний графік'!$J$14,EDATE(C268,1),"")</f>
        <v>51318</v>
      </c>
      <c r="D269" s="36">
        <f>IF(B268&lt;'Умови та класичний графік'!$J$14,C268,"")</f>
        <v>51288</v>
      </c>
      <c r="E269" s="26">
        <f>IF(B268&lt;'Умови та класичний графік'!$J$14,C269-1,"")</f>
        <v>51317</v>
      </c>
      <c r="F269" s="37">
        <f>IF(B268&lt;'Умови та класичний графік'!$J$14,E269-D269+1,"")</f>
        <v>30</v>
      </c>
      <c r="G269" s="144">
        <f>IF(B268&lt;'Умови та класичний графік'!$J$14,-(SUM(J269:L269)),"")</f>
        <v>189697.00607135339</v>
      </c>
      <c r="H269" s="144"/>
      <c r="I269" s="32">
        <f>IF(B268&lt;'Умови та класичний графік'!$J$14,I268+J269,"")</f>
        <v>1067071.6557179221</v>
      </c>
      <c r="J269" s="32">
        <f>IF(B268&lt;'Умови та класичний графік'!$J$14,PPMT($J$21/12,B269,$J$12,$J$11,0,0),"")</f>
        <v>-166566.29450467959</v>
      </c>
      <c r="K269" s="32">
        <f>IF(B268&lt;'Умови та класичний графік'!$J$14,IPMT($J$21/12,B269,$J$12,$J$11,0,0),"")</f>
        <v>-23130.711566673781</v>
      </c>
      <c r="L269" s="30">
        <f>IF(B268&lt;'Умови та класичний графік'!$J$14,-(SUM(M269:V269)),"")</f>
        <v>0</v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>
        <f>IF(B268&lt;'Умови та класичний графік'!$J$14,XIRR($G$35:G269,$C$35:C269,0),"")</f>
        <v>0.39846659667968765</v>
      </c>
      <c r="X269" s="42"/>
      <c r="Y269" s="35"/>
    </row>
    <row r="270" spans="2:25" x14ac:dyDescent="0.2">
      <c r="B270" s="47">
        <v>235</v>
      </c>
      <c r="C270" s="36">
        <f>IF(B269&lt;'Умови та класичний графік'!$J$14,EDATE(C269,1),"")</f>
        <v>51349</v>
      </c>
      <c r="D270" s="36">
        <f>IF(B269&lt;'Умови та класичний графік'!$J$14,C269,"")</f>
        <v>51318</v>
      </c>
      <c r="E270" s="26">
        <f>IF(B269&lt;'Умови та класичний графік'!$J$14,C270-1,"")</f>
        <v>51348</v>
      </c>
      <c r="F270" s="37">
        <f>IF(B269&lt;'Умови та класичний графік'!$J$14,E270-D270+1,"")</f>
        <v>31</v>
      </c>
      <c r="G270" s="144">
        <f>IF(B269&lt;'Умови та класичний графік'!$J$14,-(SUM(J270:L270)),"")</f>
        <v>189697.00607135333</v>
      </c>
      <c r="H270" s="144"/>
      <c r="I270" s="32">
        <f>IF(B269&lt;'Умови та класичний графік'!$J$14,I269+J270,"")</f>
        <v>897382.24319127982</v>
      </c>
      <c r="J270" s="32">
        <f>IF(B269&lt;'Умови та класичний графік'!$J$14,PPMT($J$21/12,B270,$J$12,$J$11,0,0),"")</f>
        <v>-169689.41252664229</v>
      </c>
      <c r="K270" s="32">
        <f>IF(B269&lt;'Умови та класичний графік'!$J$14,IPMT($J$21/12,B270,$J$12,$J$11,0,0),"")</f>
        <v>-20007.593544711035</v>
      </c>
      <c r="L270" s="30">
        <f>IF(B269&lt;'Умови та класичний графік'!$J$14,-(SUM(M270:V270)),"")</f>
        <v>0</v>
      </c>
      <c r="M270" s="38"/>
      <c r="N270" s="39"/>
      <c r="O270" s="39"/>
      <c r="P270" s="48"/>
      <c r="Q270" s="40"/>
      <c r="R270" s="40"/>
      <c r="S270" s="41"/>
      <c r="T270" s="41"/>
      <c r="U270" s="33"/>
      <c r="V270" s="41"/>
      <c r="W270" s="43">
        <f>IF(B269&lt;'Умови та класичний графік'!$J$14,XIRR($G$35:G270,$C$35:C270,0),"")</f>
        <v>0.39848208496093751</v>
      </c>
      <c r="X270" s="42"/>
      <c r="Y270" s="35"/>
    </row>
    <row r="271" spans="2:25" x14ac:dyDescent="0.2">
      <c r="B271" s="47">
        <v>236</v>
      </c>
      <c r="C271" s="36">
        <f>IF(B270&lt;'Умови та класичний графік'!$J$14,EDATE(C270,1),"")</f>
        <v>51380</v>
      </c>
      <c r="D271" s="36">
        <f>IF(B270&lt;'Умови та класичний графік'!$J$14,C270,"")</f>
        <v>51349</v>
      </c>
      <c r="E271" s="26">
        <f>IF(B270&lt;'Умови та класичний графік'!$J$14,C271-1,"")</f>
        <v>51379</v>
      </c>
      <c r="F271" s="37">
        <f>IF(B270&lt;'Умови та класичний графік'!$J$14,E271-D271+1,"")</f>
        <v>31</v>
      </c>
      <c r="G271" s="144">
        <f>IF(B270&lt;'Умови та класичний графік'!$J$14,-(SUM(J271:L271)),"")</f>
        <v>189697.00607135336</v>
      </c>
      <c r="H271" s="144"/>
      <c r="I271" s="32">
        <f>IF(B270&lt;'Умови та класичний графік'!$J$14,I270+J271,"")</f>
        <v>724511.15417976293</v>
      </c>
      <c r="J271" s="32">
        <f>IF(B270&lt;'Умови та класичний графік'!$J$14,PPMT($J$21/12,B271,$J$12,$J$11,0,0),"")</f>
        <v>-172871.08901151686</v>
      </c>
      <c r="K271" s="32">
        <f>IF(B270&lt;'Умови та класичний графік'!$J$14,IPMT($J$21/12,B271,$J$12,$J$11,0,0),"")</f>
        <v>-16825.917059836491</v>
      </c>
      <c r="L271" s="30">
        <f>IF(B270&lt;'Умови та класичний графік'!$J$14,-(SUM(M271:V271)),"")</f>
        <v>0</v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>
        <f>IF(B270&lt;'Умови та класичний графік'!$J$14,XIRR($G$35:G271,$C$35:C271,0),"")</f>
        <v>0.39849714355468757</v>
      </c>
      <c r="X271" s="42"/>
      <c r="Y271" s="35"/>
    </row>
    <row r="272" spans="2:25" x14ac:dyDescent="0.2">
      <c r="B272" s="47">
        <v>237</v>
      </c>
      <c r="C272" s="36">
        <f>IF(B271&lt;'Умови та класичний графік'!$J$14,EDATE(C271,1),"")</f>
        <v>51410</v>
      </c>
      <c r="D272" s="36">
        <f>IF(B271&lt;'Умови та класичний графік'!$J$14,C271,"")</f>
        <v>51380</v>
      </c>
      <c r="E272" s="26">
        <f>IF(B271&lt;'Умови та класичний графік'!$J$14,C272-1,"")</f>
        <v>51409</v>
      </c>
      <c r="F272" s="37">
        <f>IF(B271&lt;'Умови та класичний графік'!$J$14,E272-D272+1,"")</f>
        <v>30</v>
      </c>
      <c r="G272" s="144">
        <f>IF(B271&lt;'Умови та класичний графік'!$J$14,-(SUM(J272:L272)),"")</f>
        <v>189697.00607135333</v>
      </c>
      <c r="H272" s="144"/>
      <c r="I272" s="32">
        <f>IF(B271&lt;'Умови та класичний графік'!$J$14,I271+J272,"")</f>
        <v>548398.7322492802</v>
      </c>
      <c r="J272" s="32">
        <f>IF(B271&lt;'Умови та класичний графік'!$J$14,PPMT($J$21/12,B272,$J$12,$J$11,0,0),"")</f>
        <v>-176112.42193048279</v>
      </c>
      <c r="K272" s="32">
        <f>IF(B271&lt;'Умови та класичний графік'!$J$14,IPMT($J$21/12,B272,$J$12,$J$11,0,0),"")</f>
        <v>-13584.584140870551</v>
      </c>
      <c r="L272" s="30">
        <f>IF(B271&lt;'Умови та класичний графік'!$J$14,-(SUM(M272:V272)),"")</f>
        <v>0</v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>
        <f>IF(B271&lt;'Умови та класичний графік'!$J$14,XIRR($G$35:G272,$C$35:C272,0),"")</f>
        <v>0.39851178222656258</v>
      </c>
      <c r="X272" s="42"/>
      <c r="Y272" s="35"/>
    </row>
    <row r="273" spans="2:25" x14ac:dyDescent="0.2">
      <c r="B273" s="47">
        <v>238</v>
      </c>
      <c r="C273" s="36">
        <f>IF(B272&lt;'Умови та класичний графік'!$J$14,EDATE(C272,1),"")</f>
        <v>51441</v>
      </c>
      <c r="D273" s="36">
        <f>IF(B272&lt;'Умови та класичний графік'!$J$14,C272,"")</f>
        <v>51410</v>
      </c>
      <c r="E273" s="26">
        <f>IF(B272&lt;'Умови та класичний графік'!$J$14,C273-1,"")</f>
        <v>51440</v>
      </c>
      <c r="F273" s="37">
        <f>IF(B272&lt;'Умови та класичний графік'!$J$14,E273-D273+1,"")</f>
        <v>31</v>
      </c>
      <c r="G273" s="144">
        <f>IF(B272&lt;'Умови та класичний графік'!$J$14,-(SUM(J273:L273)),"")</f>
        <v>189697.00607135333</v>
      </c>
      <c r="H273" s="144"/>
      <c r="I273" s="32">
        <f>IF(B272&lt;'Умови та класичний графік'!$J$14,I272+J273,"")</f>
        <v>368984.20240760088</v>
      </c>
      <c r="J273" s="32">
        <f>IF(B272&lt;'Умови та класичний графік'!$J$14,PPMT($J$21/12,B273,$J$12,$J$11,0,0),"")</f>
        <v>-179414.52984167932</v>
      </c>
      <c r="K273" s="32">
        <f>IF(B272&lt;'Умови та класичний графік'!$J$14,IPMT($J$21/12,B273,$J$12,$J$11,0,0),"")</f>
        <v>-10282.476229673999</v>
      </c>
      <c r="L273" s="30">
        <f>IF(B272&lt;'Умови та класичний графік'!$J$14,-(SUM(M273:V273)),"")</f>
        <v>0</v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>
        <f>IF(B272&lt;'Умови та класичний графік'!$J$14,XIRR($G$35:G273,$C$35:C273,0),"")</f>
        <v>0.39852600097656266</v>
      </c>
      <c r="X273" s="49"/>
      <c r="Y273" s="35"/>
    </row>
    <row r="274" spans="2:25" x14ac:dyDescent="0.2">
      <c r="B274" s="47">
        <v>239</v>
      </c>
      <c r="C274" s="36">
        <f>IF(B273&lt;'Умови та класичний графік'!$J$14,EDATE(C273,1),"")</f>
        <v>51471</v>
      </c>
      <c r="D274" s="36">
        <f>IF(B273&lt;'Умови та класичний графік'!$J$14,C273,"")</f>
        <v>51441</v>
      </c>
      <c r="E274" s="26">
        <f>IF(B273&lt;'Умови та класичний графік'!$J$14,C274-1,"")</f>
        <v>51470</v>
      </c>
      <c r="F274" s="37">
        <f>IF(B273&lt;'Умови та класичний графік'!$J$14,E274-D274+1,"")</f>
        <v>30</v>
      </c>
      <c r="G274" s="144">
        <f>IF(B273&lt;'Умови та класичний графік'!$J$14,-(SUM(J274:L274)),"")</f>
        <v>189697.00607135333</v>
      </c>
      <c r="H274" s="144"/>
      <c r="I274" s="32">
        <f>IF(B273&lt;'Умови та класичний графік'!$J$14,I273+J274,"")</f>
        <v>186205.65013139005</v>
      </c>
      <c r="J274" s="32">
        <f>IF(B273&lt;'Умови та класичний графік'!$J$14,PPMT($J$21/12,B274,$J$12,$J$11,0,0),"")</f>
        <v>-182778.55227621083</v>
      </c>
      <c r="K274" s="32">
        <f>IF(B273&lt;'Умови та класичний графік'!$J$14,IPMT($J$21/12,B274,$J$12,$J$11,0,0),"")</f>
        <v>-6918.4537951425118</v>
      </c>
      <c r="L274" s="30">
        <f>IF(B273&lt;'Умови та класичний графік'!$J$14,-(SUM(M274:V274)),"")</f>
        <v>0</v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>
        <f>IF(B273&lt;'Умови та класичний графік'!$J$14,XIRR($G$35:G274,$C$35:C274,0),"")</f>
        <v>0.3985398291015626</v>
      </c>
      <c r="X274" s="49"/>
      <c r="Y274" s="35"/>
    </row>
    <row r="275" spans="2:25" x14ac:dyDescent="0.2">
      <c r="B275" s="47">
        <v>240</v>
      </c>
      <c r="C275" s="36">
        <f>IF(B274&lt;'Умови та класичний графік'!$J$14,EDATE(C274,1),"")</f>
        <v>51502</v>
      </c>
      <c r="D275" s="36">
        <f>IF(B274&lt;'Умови та класичний графік'!$J$14,C274,"")</f>
        <v>51471</v>
      </c>
      <c r="E275" s="26">
        <f>IF(B274&lt;'Умови та класичний графік'!$J$14,C275-1,"")</f>
        <v>51501</v>
      </c>
      <c r="F275" s="37">
        <f>IF(B274&lt;'Умови та класичний графік'!$J$14,E275-D275+1,"")</f>
        <v>31</v>
      </c>
      <c r="G275" s="144">
        <f>IF(B274&lt;'Умови та класичний графік'!$J$14,-(SUM(J275:L275)),"")</f>
        <v>189697.00607135336</v>
      </c>
      <c r="H275" s="144"/>
      <c r="I275" s="32">
        <f>IF(B274&lt;'Умови та класичний графік'!$J$14,I274+J275,"")</f>
        <v>2.6193447411060333E-10</v>
      </c>
      <c r="J275" s="32">
        <f>IF(B274&lt;'Умови та класичний графік'!$J$14,PPMT($J$21/12,B275,$J$12,$J$11,0,0),"")</f>
        <v>-186205.65013138979</v>
      </c>
      <c r="K275" s="32">
        <f>IF(B274&lt;'Умови та класичний графік'!$J$14,IPMT($J$21/12,B275,$J$12,$J$11,0,0),"")</f>
        <v>-3491.3559399635578</v>
      </c>
      <c r="L275" s="30">
        <f>IF(B274&lt;'Умови та класичний графік'!$J$14,-(SUM(M275:V275)),"")</f>
        <v>0</v>
      </c>
      <c r="M275" s="38"/>
      <c r="N275" s="39"/>
      <c r="O275" s="39"/>
      <c r="P275" s="48"/>
      <c r="Q275" s="40"/>
      <c r="R275" s="40"/>
      <c r="S275" s="41"/>
      <c r="T275" s="41"/>
      <c r="U275" s="33"/>
      <c r="V275" s="41"/>
      <c r="W275" s="43">
        <f>IF(B274&lt;'Умови та класичний графік'!$J$14,XIRR($G$35:G275,$C$35:C275,0),"")</f>
        <v>0.39855326660156254</v>
      </c>
      <c r="X275" s="49"/>
      <c r="Y275" s="35"/>
    </row>
    <row r="276" spans="2:25" x14ac:dyDescent="0.2">
      <c r="B276" s="25"/>
      <c r="C276" s="91" t="s">
        <v>25</v>
      </c>
      <c r="D276" s="91"/>
      <c r="E276" s="91"/>
      <c r="F276" s="91"/>
      <c r="G276" s="92">
        <f>SUM(G36:H275)</f>
        <v>54078175.58271236</v>
      </c>
      <c r="H276" s="93"/>
      <c r="I276" s="50" t="s">
        <v>24</v>
      </c>
      <c r="J276" s="50">
        <f>-(SUM(J36:J275))</f>
        <v>10000000.000000002</v>
      </c>
      <c r="K276" s="50">
        <f>-(SUM(K35:K275))</f>
        <v>35527281.457124762</v>
      </c>
      <c r="L276" s="51">
        <f>-(SUM(L36:L275))+L35</f>
        <v>10725194.125587709</v>
      </c>
      <c r="M276" s="52">
        <f t="shared" ref="M276:V276" si="7">SUM(M35:M275)</f>
        <v>0</v>
      </c>
      <c r="N276" s="50">
        <f t="shared" si="7"/>
        <v>150</v>
      </c>
      <c r="O276" s="50">
        <f t="shared" si="7"/>
        <v>150000</v>
      </c>
      <c r="P276" s="50">
        <f t="shared" si="7"/>
        <v>0</v>
      </c>
      <c r="Q276" s="50">
        <f t="shared" si="7"/>
        <v>0</v>
      </c>
      <c r="R276" s="50">
        <f t="shared" si="7"/>
        <v>0</v>
      </c>
      <c r="S276" s="53">
        <f t="shared" si="7"/>
        <v>148000</v>
      </c>
      <c r="T276" s="53">
        <f t="shared" si="7"/>
        <v>0</v>
      </c>
      <c r="U276" s="53">
        <f t="shared" si="7"/>
        <v>9006894.1255877092</v>
      </c>
      <c r="V276" s="53">
        <f t="shared" si="7"/>
        <v>1420150</v>
      </c>
      <c r="W276" s="43">
        <f>IF(B275&lt;='Умови та класичний графік'!$J$14,XIRR($G$35:G275,$C$35:C275,0),"")</f>
        <v>0.39855326660156254</v>
      </c>
      <c r="X276" s="50">
        <f>K276+L276</f>
        <v>46252475.582712471</v>
      </c>
      <c r="Y276" s="54">
        <f>X276+'Умови та класичний графік'!J13</f>
        <v>56252475.582712471</v>
      </c>
    </row>
    <row r="277" spans="2:25" s="57" customFormat="1" ht="13.7" customHeight="1" x14ac:dyDescent="0.2">
      <c r="B277" s="55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9"/>
      <c r="V277" s="56"/>
    </row>
    <row r="278" spans="2:25" s="57" customFormat="1" x14ac:dyDescent="0.2">
      <c r="B278" s="55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9"/>
      <c r="V278" s="56"/>
    </row>
  </sheetData>
  <protectedRanges>
    <protectedRange sqref="J11:K13" name="Параметри кредиту_1"/>
  </protectedRanges>
  <mergeCells count="315">
    <mergeCell ref="B3:P6"/>
    <mergeCell ref="B7:M7"/>
    <mergeCell ref="G24:N24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L12:M12"/>
    <mergeCell ref="N12:U12"/>
    <mergeCell ref="G18:I18"/>
    <mergeCell ref="J18:K18"/>
    <mergeCell ref="L18:M18"/>
    <mergeCell ref="N18:U18"/>
    <mergeCell ref="G19:I19"/>
    <mergeCell ref="J19:K19"/>
    <mergeCell ref="L19:M19"/>
    <mergeCell ref="O19:U19"/>
    <mergeCell ref="G15:I15"/>
    <mergeCell ref="J15:K15"/>
    <mergeCell ref="L15:M15"/>
    <mergeCell ref="N15:U15"/>
    <mergeCell ref="G16:I16"/>
    <mergeCell ref="J16:K16"/>
    <mergeCell ref="L16:M16"/>
    <mergeCell ref="N16:U16"/>
    <mergeCell ref="G17:I17"/>
    <mergeCell ref="J17:K17"/>
    <mergeCell ref="N17:U17"/>
    <mergeCell ref="B30:B33"/>
    <mergeCell ref="C30:C33"/>
    <mergeCell ref="D30:E32"/>
    <mergeCell ref="F30:F33"/>
    <mergeCell ref="G30:H33"/>
    <mergeCell ref="G20:I20"/>
    <mergeCell ref="J20:K20"/>
    <mergeCell ref="L20:M20"/>
    <mergeCell ref="O20:U20"/>
    <mergeCell ref="G21:I21"/>
    <mergeCell ref="J21:K21"/>
    <mergeCell ref="L21:M21"/>
    <mergeCell ref="N21:U21"/>
    <mergeCell ref="X30:X33"/>
    <mergeCell ref="Y30:Y33"/>
    <mergeCell ref="J31:J33"/>
    <mergeCell ref="K31:K33"/>
    <mergeCell ref="L31:L33"/>
    <mergeCell ref="M31:V31"/>
    <mergeCell ref="M32:P32"/>
    <mergeCell ref="G22:J22"/>
    <mergeCell ref="G25:N25"/>
    <mergeCell ref="G26:N26"/>
    <mergeCell ref="G27:N27"/>
    <mergeCell ref="G28:N28"/>
    <mergeCell ref="Q32:R32"/>
    <mergeCell ref="S32:V32"/>
    <mergeCell ref="G34:H34"/>
    <mergeCell ref="G35:H35"/>
    <mergeCell ref="G36:H36"/>
    <mergeCell ref="G37:H37"/>
    <mergeCell ref="I30:I33"/>
    <mergeCell ref="J30:V30"/>
    <mergeCell ref="W30:W33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C277:T277"/>
    <mergeCell ref="C278:T278"/>
    <mergeCell ref="G272:H272"/>
    <mergeCell ref="G273:H273"/>
    <mergeCell ref="G274:H274"/>
    <mergeCell ref="G275:H275"/>
    <mergeCell ref="C276:F276"/>
    <mergeCell ref="G276:H276"/>
    <mergeCell ref="G266:H266"/>
    <mergeCell ref="G267:H267"/>
    <mergeCell ref="G268:H268"/>
    <mergeCell ref="G269:H269"/>
    <mergeCell ref="G270:H270"/>
    <mergeCell ref="G271:H271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Остренок Оксана Сергіївна</cp:lastModifiedBy>
  <cp:lastPrinted>2020-07-30T07:51:15Z</cp:lastPrinted>
  <dcterms:created xsi:type="dcterms:W3CDTF">2017-10-03T08:15:20Z</dcterms:created>
  <dcterms:modified xsi:type="dcterms:W3CDTF">2024-04-05T12:42:37Z</dcterms:modified>
</cp:coreProperties>
</file>